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-15" windowWidth="9510" windowHeight="12585"/>
  </bookViews>
  <sheets>
    <sheet name="Calculator" sheetId="1" r:id="rId1"/>
    <sheet name="Data" sheetId="2" state="hidden" r:id="rId2"/>
    <sheet name="Revision history" sheetId="3" r:id="rId3"/>
  </sheets>
  <definedNames>
    <definedName name="averaging">Data!$B$8:$L$8</definedName>
    <definedName name="noise">Data!$A$3:$A$4</definedName>
    <definedName name="sensor">Data!$B$36:$C$36</definedName>
    <definedName name="VBW">Data!$B$17:$B$20</definedName>
  </definedNames>
  <calcPr calcId="145621"/>
</workbook>
</file>

<file path=xl/calcChain.xml><?xml version="1.0" encoding="utf-8"?>
<calcChain xmlns="http://schemas.openxmlformats.org/spreadsheetml/2006/main">
  <c r="D20" i="1" l="1"/>
  <c r="B80" i="2" l="1"/>
  <c r="B81" i="2"/>
  <c r="C81" i="2"/>
  <c r="C80" i="2"/>
  <c r="E5" i="1" s="1"/>
  <c r="D18" i="1"/>
  <c r="F64" i="2" l="1"/>
  <c r="B65" i="2" s="1"/>
  <c r="B77" i="2" l="1"/>
  <c r="B76" i="2"/>
  <c r="E6" i="1" s="1"/>
  <c r="F22" i="2"/>
  <c r="B59" i="2"/>
  <c r="C59" i="2" s="1"/>
  <c r="D26" i="1"/>
  <c r="D25" i="1"/>
  <c r="B58" i="2" s="1"/>
  <c r="C58" i="2" s="1"/>
  <c r="D21" i="1"/>
  <c r="E21" i="1" s="1"/>
  <c r="G5" i="1"/>
  <c r="D22" i="2"/>
  <c r="B22" i="2"/>
  <c r="B11" i="2"/>
  <c r="E18" i="1" l="1"/>
  <c r="E20" i="1"/>
  <c r="B23" i="2"/>
  <c r="B25" i="2" l="1"/>
  <c r="B26" i="2" s="1"/>
  <c r="B29" i="2" l="1"/>
  <c r="D17" i="1"/>
  <c r="E17" i="1" l="1"/>
  <c r="E19" i="1" s="1"/>
  <c r="E22" i="1" s="1"/>
  <c r="E27" i="1" s="1"/>
  <c r="E29" i="1" s="1"/>
  <c r="E30" i="1" s="1"/>
  <c r="E31" i="1" l="1"/>
</calcChain>
</file>

<file path=xl/sharedStrings.xml><?xml version="1.0" encoding="utf-8"?>
<sst xmlns="http://schemas.openxmlformats.org/spreadsheetml/2006/main" count="155" uniqueCount="98">
  <si>
    <t>U2020 X-Series USB Peak and Average Power Sensor</t>
  </si>
  <si>
    <t>Uncertainty calculation for a power measurement (settled, average power)</t>
  </si>
  <si>
    <t>Power Level (dBm)</t>
  </si>
  <si>
    <t>Frequency (GHz)</t>
  </si>
  <si>
    <t>Measurement noise</t>
  </si>
  <si>
    <t>Trigger mode</t>
  </si>
  <si>
    <t>Free run mode</t>
  </si>
  <si>
    <t>Free run measurement noise</t>
  </si>
  <si>
    <t xml:space="preserve">Free run </t>
  </si>
  <si>
    <t>Noise</t>
  </si>
  <si>
    <t>Noise Multiplier</t>
  </si>
  <si>
    <t>Noise per sample</t>
  </si>
  <si>
    <t>&lt;500MHz</t>
  </si>
  <si>
    <t>&gt;=500MHz</t>
  </si>
  <si>
    <t>Noise per sample multiplier</t>
  </si>
  <si>
    <t>5MHz</t>
  </si>
  <si>
    <t>15MHz</t>
  </si>
  <si>
    <t>30MHz</t>
  </si>
  <si>
    <t>Off</t>
  </si>
  <si>
    <t>VBW setting</t>
  </si>
  <si>
    <t>Average setting</t>
  </si>
  <si>
    <t>Trigger mode measurement noise</t>
  </si>
  <si>
    <t>= measurement noise x free run noise multiplier</t>
  </si>
  <si>
    <t>x</t>
  </si>
  <si>
    <t>=</t>
  </si>
  <si>
    <t>Free run / Trigger mode</t>
  </si>
  <si>
    <t xml:space="preserve">Zero drift </t>
  </si>
  <si>
    <t>= Noise / Power, noise power is capped for power &gt; 100 uW, for these cases, use: Noise / 100 uW</t>
  </si>
  <si>
    <t>Measurement noise  =</t>
  </si>
  <si>
    <t>W</t>
  </si>
  <si>
    <t>Calculate sensor uncertainty due to measurement noise and zero drift</t>
  </si>
  <si>
    <t xml:space="preserve">RSS of above terms </t>
  </si>
  <si>
    <t>Zero uncertainty</t>
  </si>
  <si>
    <t>Final Measurement noise in %</t>
  </si>
  <si>
    <t>Symbol</t>
  </si>
  <si>
    <t>Value</t>
  </si>
  <si>
    <t>Percentage</t>
  </si>
  <si>
    <t>N</t>
  </si>
  <si>
    <t>D</t>
  </si>
  <si>
    <t>RSS(N,D)</t>
  </si>
  <si>
    <r>
      <t>Z</t>
    </r>
    <r>
      <rPr>
        <vertAlign val="subscript"/>
        <sz val="11"/>
        <color theme="1"/>
        <rFont val="Calibri"/>
        <family val="2"/>
        <scheme val="minor"/>
      </rPr>
      <t>s</t>
    </r>
  </si>
  <si>
    <t>Zero set</t>
  </si>
  <si>
    <t>Sensor calibration uncertainty</t>
  </si>
  <si>
    <r>
      <t>K</t>
    </r>
    <r>
      <rPr>
        <vertAlign val="subscript"/>
        <sz val="11"/>
        <color theme="1"/>
        <rFont val="Calibri"/>
        <family val="2"/>
        <scheme val="minor"/>
      </rPr>
      <t>b</t>
    </r>
  </si>
  <si>
    <t>Calibration uncertainty</t>
  </si>
  <si>
    <t>U2021XA</t>
  </si>
  <si>
    <t>U2022XA</t>
  </si>
  <si>
    <t>#</t>
  </si>
  <si>
    <t>Sensor model</t>
  </si>
  <si>
    <t>System contribution, coverage factor of 2</t>
  </si>
  <si>
    <t>(RSS of item 3, 4 and 5)</t>
  </si>
  <si>
    <t>Standard uncertainty of mismatch</t>
  </si>
  <si>
    <t>DUT SWR</t>
  </si>
  <si>
    <t>Sensor max SWR</t>
  </si>
  <si>
    <t>DUT max SWR</t>
  </si>
  <si>
    <t>Combined measurement uncertainty @ k = 1</t>
  </si>
  <si>
    <t>Upper Limit Uncertainty</t>
  </si>
  <si>
    <t>Lower Limit Uncertainty</t>
  </si>
  <si>
    <t xml:space="preserve">Expanded Uncertainty </t>
  </si>
  <si>
    <r>
      <t>|Г</t>
    </r>
    <r>
      <rPr>
        <vertAlign val="subscript"/>
        <sz val="11"/>
        <color theme="1"/>
        <rFont val="Calibri"/>
        <family val="2"/>
        <scheme val="minor"/>
      </rPr>
      <t>DUT</t>
    </r>
    <r>
      <rPr>
        <sz val="11"/>
        <color theme="1"/>
        <rFont val="Calibri"/>
        <family val="2"/>
        <scheme val="minor"/>
      </rPr>
      <t>|</t>
    </r>
  </si>
  <si>
    <r>
      <t>|Г</t>
    </r>
    <r>
      <rPr>
        <vertAlign val="subscript"/>
        <sz val="11"/>
        <color theme="1"/>
        <rFont val="Calibri"/>
        <family val="2"/>
        <scheme val="minor"/>
      </rPr>
      <t>sensor</t>
    </r>
    <r>
      <rPr>
        <sz val="11"/>
        <color theme="1"/>
        <rFont val="Calibri"/>
        <family val="2"/>
        <scheme val="minor"/>
      </rPr>
      <t>|</t>
    </r>
  </si>
  <si>
    <r>
      <t>RSS(N, D, Z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, K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</t>
    </r>
  </si>
  <si>
    <t xml:space="preserve"> --</t>
  </si>
  <si>
    <t xml:space="preserve">Measurement noise </t>
  </si>
  <si>
    <t>This calculation is base on ISO Guide to the Expression of Uncertainty in Measurement, often referred to as the GUM.</t>
  </si>
  <si>
    <t>For more info on power meter and power sensor measurement uncertainty equation and calculation base on GUM, please refer to Agilent Application Note 1449-3 "Fundamental of RF and Microwave Power Measurements (Part 3), literature number 5988-9215EN.</t>
  </si>
  <si>
    <t>The data used in this calculation is base on the specifications as in the U2020 X-Series USB power sensors datasheet, literature number 5991-0310EN.</t>
  </si>
  <si>
    <t>= noise per sample x noise per sample multiplier x 1/sqrt[(gate length/12.5ns)]</t>
  </si>
  <si>
    <t>Trigger mode measurement noise improvement limits at the measurement noise of 100 nW:</t>
  </si>
  <si>
    <t>SWR</t>
  </si>
  <si>
    <t>rho</t>
  </si>
  <si>
    <t>Freq</t>
  </si>
  <si>
    <r>
      <t>U</t>
    </r>
    <r>
      <rPr>
        <vertAlign val="subscript"/>
        <sz val="11"/>
        <color theme="1"/>
        <rFont val="Calibri"/>
        <family val="2"/>
        <scheme val="minor"/>
      </rPr>
      <t>c</t>
    </r>
  </si>
  <si>
    <t>k</t>
  </si>
  <si>
    <r>
      <t>U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* k</t>
    </r>
  </si>
  <si>
    <t>k factor</t>
  </si>
  <si>
    <t>Instruction: Fill up blue colour columns</t>
  </si>
  <si>
    <t>Sensor mode</t>
  </si>
  <si>
    <t>Normal mode</t>
  </si>
  <si>
    <t>Average only mode</t>
  </si>
  <si>
    <t xml:space="preserve">   (Normal mode enables peak/average power measurements and trace view)</t>
  </si>
  <si>
    <t>Revision:</t>
  </si>
  <si>
    <t>Rev 1</t>
  </si>
  <si>
    <t>New creation</t>
  </si>
  <si>
    <t>Rev 2</t>
  </si>
  <si>
    <t>Added 'average only mode' with extended power range down to -45dBm</t>
  </si>
  <si>
    <t>© Agilent Technologies, Inc. 2012, 2014</t>
  </si>
  <si>
    <t>Zero drift</t>
  </si>
  <si>
    <t>Noise multiplier (average only mode):</t>
  </si>
  <si>
    <t>Normal speed</t>
  </si>
  <si>
    <t>Double speed</t>
  </si>
  <si>
    <t>Measurement noise * noise multiplier</t>
  </si>
  <si>
    <t>Noise multiplier =</t>
  </si>
  <si>
    <t>Power range checking</t>
  </si>
  <si>
    <t>Freq range checking</t>
  </si>
  <si>
    <t>Date updated: 7 Feb 2014</t>
  </si>
  <si>
    <t>Revision 2</t>
  </si>
  <si>
    <r>
      <t>Gate length (us)</t>
    </r>
    <r>
      <rPr>
        <sz val="8"/>
        <color theme="1"/>
        <rFont val="Calibri"/>
        <family val="2"/>
        <scheme val="minor"/>
      </rPr>
      <t xml:space="preserve"> -</t>
    </r>
    <r>
      <rPr>
        <i/>
        <sz val="8"/>
        <color theme="1"/>
        <rFont val="Calibri"/>
        <family val="2"/>
        <scheme val="minor"/>
      </rPr>
      <t>- not required for Free Run or Average-only mode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</si>
</sst>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%"/>
    <numFmt numFmtId="165" formatCode="0.0%"/>
    <numFmt numFmtId="166" formatCode="0.000"/>
    <numFmt numFmtId="167" formatCode="0.0"/>
  </numFmts>
  <fonts count="1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1" fontId="0" fillId="0" borderId="0" xfId="0" applyNumberFormat="1"/>
    <xf numFmtId="0" fontId="2" fillId="0" borderId="0" xfId="0" applyFont="1"/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  <xf numFmtId="10" fontId="0" fillId="0" borderId="0" xfId="0" applyNumberFormat="1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11" fontId="0" fillId="0" borderId="0" xfId="0" applyNumberFormat="1" applyProtection="1">
      <protection hidden="1"/>
    </xf>
    <xf numFmtId="0" fontId="0" fillId="0" borderId="1" xfId="0" applyBorder="1" applyProtection="1">
      <protection hidden="1"/>
    </xf>
    <xf numFmtId="0" fontId="0" fillId="0" borderId="0" xfId="0" quotePrefix="1" applyProtection="1">
      <protection hidden="1"/>
    </xf>
    <xf numFmtId="0" fontId="0" fillId="0" borderId="0" xfId="0" quotePrefix="1" applyAlignment="1" applyProtection="1">
      <alignment horizontal="right"/>
      <protection hidden="1"/>
    </xf>
    <xf numFmtId="11" fontId="9" fillId="0" borderId="2" xfId="0" applyNumberFormat="1" applyFont="1" applyBorder="1" applyProtection="1">
      <protection hidden="1"/>
    </xf>
    <xf numFmtId="11" fontId="0" fillId="0" borderId="1" xfId="0" applyNumberFormat="1" applyBorder="1" applyProtection="1">
      <protection hidden="1"/>
    </xf>
    <xf numFmtId="0" fontId="0" fillId="0" borderId="0" xfId="0" quotePrefix="1" applyFill="1" applyBorder="1" applyProtection="1">
      <protection hidden="1"/>
    </xf>
    <xf numFmtId="11" fontId="0" fillId="0" borderId="0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11" fontId="9" fillId="0" borderId="3" xfId="0" applyNumberFormat="1" applyFont="1" applyBorder="1" applyProtection="1">
      <protection hidden="1"/>
    </xf>
    <xf numFmtId="10" fontId="0" fillId="0" borderId="2" xfId="0" applyNumberFormat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10" fontId="0" fillId="0" borderId="1" xfId="0" applyNumberFormat="1" applyBorder="1" applyAlignment="1" applyProtection="1">
      <alignment horizontal="center"/>
      <protection hidden="1"/>
    </xf>
    <xf numFmtId="9" fontId="0" fillId="0" borderId="1" xfId="0" applyNumberFormat="1" applyBorder="1" applyAlignment="1" applyProtection="1">
      <alignment horizontal="center"/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0" fontId="0" fillId="0" borderId="0" xfId="0" applyNumberFormat="1" applyBorder="1" applyAlignment="1" applyProtection="1">
      <alignment horizontal="center"/>
      <protection hidden="1"/>
    </xf>
    <xf numFmtId="167" fontId="0" fillId="0" borderId="1" xfId="0" applyNumberFormat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15" fontId="0" fillId="0" borderId="0" xfId="0" applyNumberForma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quotePrefix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11" fontId="0" fillId="0" borderId="0" xfId="0" applyNumberFormat="1" applyAlignment="1" applyProtection="1">
      <alignment horizontal="center"/>
      <protection locked="0" hidden="1"/>
    </xf>
    <xf numFmtId="10" fontId="0" fillId="0" borderId="0" xfId="0" applyNumberFormat="1" applyAlignment="1" applyProtection="1">
      <alignment horizontal="center"/>
      <protection locked="0" hidden="1"/>
    </xf>
    <xf numFmtId="10" fontId="0" fillId="0" borderId="0" xfId="0" applyNumberForma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164" fontId="0" fillId="0" borderId="0" xfId="0" applyNumberFormat="1" applyBorder="1" applyAlignment="1" applyProtection="1">
      <alignment horizontal="center"/>
      <protection locked="0" hidden="1"/>
    </xf>
    <xf numFmtId="10" fontId="0" fillId="0" borderId="0" xfId="0" applyNumberFormat="1" applyAlignment="1" applyProtection="1">
      <protection locked="0" hidden="1"/>
    </xf>
    <xf numFmtId="0" fontId="0" fillId="0" borderId="0" xfId="0" quotePrefix="1" applyAlignment="1" applyProtection="1">
      <alignment horizontal="center"/>
      <protection locked="0" hidden="1"/>
    </xf>
    <xf numFmtId="10" fontId="3" fillId="0" borderId="2" xfId="0" applyNumberFormat="1" applyFont="1" applyBorder="1" applyAlignment="1" applyProtection="1">
      <alignment horizontal="center"/>
      <protection locked="0" hidden="1"/>
    </xf>
    <xf numFmtId="166" fontId="3" fillId="0" borderId="0" xfId="0" applyNumberFormat="1" applyFont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E5" sqref="E5"/>
    </sheetView>
  </sheetViews>
  <sheetFormatPr defaultRowHeight="15" x14ac:dyDescent="0.25"/>
  <cols>
    <col min="1" max="1" width="5" customWidth="1"/>
    <col min="2" max="2" width="47.28515625" customWidth="1"/>
    <col min="3" max="3" width="24.5703125" customWidth="1"/>
    <col min="4" max="4" width="18" customWidth="1"/>
    <col min="5" max="5" width="16.7109375" customWidth="1"/>
    <col min="6" max="6" width="10.28515625" customWidth="1"/>
  </cols>
  <sheetData>
    <row r="1" spans="1:8" x14ac:dyDescent="0.25">
      <c r="A1" s="2" t="s">
        <v>0</v>
      </c>
      <c r="B1" s="8"/>
    </row>
    <row r="2" spans="1:8" x14ac:dyDescent="0.25">
      <c r="A2" t="s">
        <v>1</v>
      </c>
      <c r="B2" s="8"/>
    </row>
    <row r="3" spans="1:8" x14ac:dyDescent="0.25">
      <c r="A3" t="s">
        <v>76</v>
      </c>
      <c r="B3" s="8"/>
    </row>
    <row r="4" spans="1:8" x14ac:dyDescent="0.25">
      <c r="B4" s="8"/>
    </row>
    <row r="5" spans="1:8" x14ac:dyDescent="0.25">
      <c r="A5">
        <v>1</v>
      </c>
      <c r="B5" s="8" t="s">
        <v>2</v>
      </c>
      <c r="C5" s="36" t="s">
        <v>24</v>
      </c>
      <c r="D5" s="50">
        <v>0</v>
      </c>
      <c r="E5" s="4" t="str">
        <f>INDEX(Data!A79:C81, MATCH(Calculator!D11,Data!A79:A81,0), MATCH(Calculator!D10,Data!A79:C79,0))</f>
        <v xml:space="preserve"> </v>
      </c>
      <c r="F5" s="36" t="s">
        <v>24</v>
      </c>
      <c r="G5" s="8">
        <f>10^(D5/10)/1000</f>
        <v>1E-3</v>
      </c>
      <c r="H5" s="8" t="s">
        <v>29</v>
      </c>
    </row>
    <row r="6" spans="1:8" x14ac:dyDescent="0.25">
      <c r="A6">
        <v>2</v>
      </c>
      <c r="B6" s="8" t="s">
        <v>3</v>
      </c>
      <c r="C6" s="36" t="s">
        <v>24</v>
      </c>
      <c r="D6" s="50">
        <v>1</v>
      </c>
      <c r="E6" s="4" t="str">
        <f>VLOOKUP(D11,Data!A76:B77, 2, FALSE)</f>
        <v xml:space="preserve"> </v>
      </c>
    </row>
    <row r="7" spans="1:8" x14ac:dyDescent="0.25">
      <c r="B7" s="8" t="s">
        <v>20</v>
      </c>
      <c r="C7" s="36" t="s">
        <v>24</v>
      </c>
      <c r="D7" s="50">
        <v>16</v>
      </c>
    </row>
    <row r="8" spans="1:8" x14ac:dyDescent="0.25">
      <c r="B8" s="8" t="s">
        <v>19</v>
      </c>
      <c r="C8" s="36" t="s">
        <v>24</v>
      </c>
      <c r="D8" s="50" t="s">
        <v>18</v>
      </c>
    </row>
    <row r="9" spans="1:8" x14ac:dyDescent="0.25">
      <c r="B9" s="8" t="s">
        <v>25</v>
      </c>
      <c r="C9" s="36" t="s">
        <v>24</v>
      </c>
      <c r="D9" s="50" t="s">
        <v>6</v>
      </c>
    </row>
    <row r="10" spans="1:8" x14ac:dyDescent="0.25">
      <c r="B10" s="8" t="s">
        <v>77</v>
      </c>
      <c r="C10" s="36" t="s">
        <v>24</v>
      </c>
      <c r="D10" s="50" t="s">
        <v>78</v>
      </c>
      <c r="E10" s="38" t="s">
        <v>80</v>
      </c>
    </row>
    <row r="11" spans="1:8" x14ac:dyDescent="0.25">
      <c r="B11" s="8" t="s">
        <v>48</v>
      </c>
      <c r="C11" s="36" t="s">
        <v>24</v>
      </c>
      <c r="D11" s="50" t="s">
        <v>45</v>
      </c>
    </row>
    <row r="12" spans="1:8" x14ac:dyDescent="0.25">
      <c r="B12" s="8" t="s">
        <v>52</v>
      </c>
      <c r="C12" s="36" t="s">
        <v>24</v>
      </c>
      <c r="D12" s="50">
        <v>1.26</v>
      </c>
    </row>
    <row r="13" spans="1:8" x14ac:dyDescent="0.25">
      <c r="B13" s="8" t="s">
        <v>97</v>
      </c>
      <c r="C13" s="36" t="s">
        <v>24</v>
      </c>
      <c r="D13" s="50">
        <v>500</v>
      </c>
      <c r="F13" s="1"/>
    </row>
    <row r="14" spans="1:8" x14ac:dyDescent="0.25">
      <c r="B14" s="8"/>
      <c r="C14" s="36"/>
      <c r="D14" s="3"/>
    </row>
    <row r="15" spans="1:8" x14ac:dyDescent="0.25">
      <c r="B15" s="8"/>
      <c r="C15" s="37" t="s">
        <v>34</v>
      </c>
      <c r="D15" s="39" t="s">
        <v>35</v>
      </c>
      <c r="E15" s="39" t="s">
        <v>36</v>
      </c>
    </row>
    <row r="16" spans="1:8" x14ac:dyDescent="0.25">
      <c r="A16">
        <v>3</v>
      </c>
      <c r="B16" s="8" t="s">
        <v>30</v>
      </c>
      <c r="C16" s="8"/>
      <c r="D16" s="40"/>
      <c r="E16" s="40"/>
    </row>
    <row r="17" spans="1:7" x14ac:dyDescent="0.25">
      <c r="B17" s="8" t="s">
        <v>63</v>
      </c>
      <c r="C17" s="17" t="s">
        <v>37</v>
      </c>
      <c r="D17" s="41">
        <f>IF(D10="Normal mode", Data!B26, Data!B65)</f>
        <v>5.9999999999999995E-8</v>
      </c>
      <c r="E17" s="42">
        <f>IF(D10="Normal mode", Data!B29, Data!B65/G5)</f>
        <v>5.9999999999999995E-4</v>
      </c>
      <c r="G17" s="5"/>
    </row>
    <row r="18" spans="1:7" x14ac:dyDescent="0.25">
      <c r="B18" s="8" t="s">
        <v>26</v>
      </c>
      <c r="C18" s="17" t="s">
        <v>38</v>
      </c>
      <c r="D18" s="41">
        <f>IF(D10="Normal mode", Data!B31, Data!B63)</f>
        <v>9.9999999999999995E-8</v>
      </c>
      <c r="E18" s="43">
        <f>D18/G5</f>
        <v>9.9999999999999991E-5</v>
      </c>
      <c r="G18" s="5"/>
    </row>
    <row r="19" spans="1:7" x14ac:dyDescent="0.25">
      <c r="B19" s="8" t="s">
        <v>31</v>
      </c>
      <c r="C19" s="17" t="s">
        <v>39</v>
      </c>
      <c r="D19" s="44" t="s">
        <v>62</v>
      </c>
      <c r="E19" s="45">
        <f>SQRT(SUMSQ(E17:E18))</f>
        <v>6.0827625302982196E-4</v>
      </c>
      <c r="G19" s="5"/>
    </row>
    <row r="20" spans="1:7" ht="18" x14ac:dyDescent="0.35">
      <c r="A20">
        <v>4</v>
      </c>
      <c r="B20" s="8" t="s">
        <v>32</v>
      </c>
      <c r="C20" s="17" t="s">
        <v>40</v>
      </c>
      <c r="D20" s="41">
        <f>IF(D10="Normal mode", Data!B33, Data!B62)</f>
        <v>1.9999999999999999E-7</v>
      </c>
      <c r="E20" s="42">
        <f>D20/G5</f>
        <v>1.9999999999999998E-4</v>
      </c>
      <c r="G20" s="5"/>
    </row>
    <row r="21" spans="1:7" ht="18" x14ac:dyDescent="0.35">
      <c r="A21">
        <v>5</v>
      </c>
      <c r="B21" s="8" t="s">
        <v>42</v>
      </c>
      <c r="C21" s="17" t="s">
        <v>43</v>
      </c>
      <c r="D21" s="42">
        <f>IF(D11="U2021XA", VLOOKUP(D6,Data!A37:B44,2,TRUE), VLOOKUP(Calculator!D6,Data!A37:C44,3,TRUE))</f>
        <v>0.04</v>
      </c>
      <c r="E21" s="42">
        <f>D21</f>
        <v>0.04</v>
      </c>
    </row>
    <row r="22" spans="1:7" ht="18" x14ac:dyDescent="0.35">
      <c r="A22">
        <v>6</v>
      </c>
      <c r="B22" s="8" t="s">
        <v>49</v>
      </c>
      <c r="C22" s="17" t="s">
        <v>61</v>
      </c>
      <c r="D22" s="44" t="s">
        <v>62</v>
      </c>
      <c r="E22" s="42">
        <f>SQRT(SUMSQ(E19:E21))</f>
        <v>4.0005124671721744E-2</v>
      </c>
      <c r="G22" s="6"/>
    </row>
    <row r="23" spans="1:7" x14ac:dyDescent="0.25">
      <c r="B23" s="8" t="s">
        <v>50</v>
      </c>
      <c r="C23" s="17" t="s">
        <v>62</v>
      </c>
      <c r="D23" s="44" t="s">
        <v>62</v>
      </c>
      <c r="E23" s="40"/>
    </row>
    <row r="24" spans="1:7" x14ac:dyDescent="0.25">
      <c r="A24">
        <v>7</v>
      </c>
      <c r="B24" s="8" t="s">
        <v>51</v>
      </c>
      <c r="C24" s="17" t="s">
        <v>62</v>
      </c>
      <c r="D24" s="44" t="s">
        <v>62</v>
      </c>
      <c r="E24" s="40"/>
    </row>
    <row r="25" spans="1:7" ht="18" x14ac:dyDescent="0.35">
      <c r="B25" s="8" t="s">
        <v>53</v>
      </c>
      <c r="C25" s="17" t="s">
        <v>60</v>
      </c>
      <c r="D25" s="44">
        <f>IF(D11="U2021XA", VLOOKUP(D6,Data!A48:B55,2,TRUE), VLOOKUP(Calculator!D6,Data!A48:C55,3,TRUE))</f>
        <v>1.2</v>
      </c>
      <c r="E25" s="40"/>
    </row>
    <row r="26" spans="1:7" ht="18" x14ac:dyDescent="0.35">
      <c r="B26" s="8" t="s">
        <v>54</v>
      </c>
      <c r="C26" s="17" t="s">
        <v>59</v>
      </c>
      <c r="D26" s="44">
        <f>D12</f>
        <v>1.26</v>
      </c>
      <c r="E26" s="46"/>
    </row>
    <row r="27" spans="1:7" ht="18" x14ac:dyDescent="0.35">
      <c r="A27">
        <v>8</v>
      </c>
      <c r="B27" s="8" t="s">
        <v>55</v>
      </c>
      <c r="C27" s="17" t="s">
        <v>72</v>
      </c>
      <c r="D27" s="47" t="s">
        <v>24</v>
      </c>
      <c r="E27" s="42">
        <f>SQRT((Data!C58*Data!C59/SQRT(2))^2+(Calculator!E22/2)^2)</f>
        <v>2.1325883852806114E-2</v>
      </c>
    </row>
    <row r="28" spans="1:7" x14ac:dyDescent="0.25">
      <c r="B28" s="8" t="s">
        <v>75</v>
      </c>
      <c r="C28" s="17" t="s">
        <v>73</v>
      </c>
      <c r="D28" s="47" t="s">
        <v>24</v>
      </c>
      <c r="E28" s="44">
        <v>2</v>
      </c>
    </row>
    <row r="29" spans="1:7" ht="18.75" thickBot="1" x14ac:dyDescent="0.4">
      <c r="B29" s="18" t="s">
        <v>58</v>
      </c>
      <c r="C29" s="17" t="s">
        <v>74</v>
      </c>
      <c r="D29" s="47" t="s">
        <v>24</v>
      </c>
      <c r="E29" s="48">
        <f>E27*E28</f>
        <v>4.2651767705612229E-2</v>
      </c>
    </row>
    <row r="30" spans="1:7" ht="15.75" thickTop="1" x14ac:dyDescent="0.25">
      <c r="B30" s="8"/>
      <c r="C30" s="17" t="s">
        <v>56</v>
      </c>
      <c r="D30" s="47" t="s">
        <v>24</v>
      </c>
      <c r="E30" s="49" t="str">
        <f>"+"&amp;TEXT(10*LOG(1+E29),"0.000")&amp;" dB"</f>
        <v>+0.181 dB</v>
      </c>
    </row>
    <row r="31" spans="1:7" x14ac:dyDescent="0.25">
      <c r="B31" s="8"/>
      <c r="C31" s="17" t="s">
        <v>57</v>
      </c>
      <c r="D31" s="47" t="s">
        <v>24</v>
      </c>
      <c r="E31" s="49" t="str">
        <f>TEXT(10*LOG(1-E29),"0.000")&amp;" dB"</f>
        <v>-0.189 dB</v>
      </c>
    </row>
    <row r="32" spans="1:7" x14ac:dyDescent="0.25">
      <c r="B32" s="8"/>
      <c r="C32" s="8"/>
    </row>
    <row r="33" spans="2:3" x14ac:dyDescent="0.25">
      <c r="B33" s="34" t="s">
        <v>96</v>
      </c>
      <c r="C33" s="8"/>
    </row>
    <row r="34" spans="2:3" x14ac:dyDescent="0.25">
      <c r="B34" s="34" t="s">
        <v>95</v>
      </c>
    </row>
    <row r="35" spans="2:3" x14ac:dyDescent="0.25">
      <c r="B35" s="8"/>
    </row>
    <row r="36" spans="2:3" x14ac:dyDescent="0.25">
      <c r="B36" s="35" t="s">
        <v>86</v>
      </c>
    </row>
    <row r="37" spans="2:3" x14ac:dyDescent="0.25">
      <c r="B37" s="8" t="s">
        <v>66</v>
      </c>
    </row>
    <row r="38" spans="2:3" x14ac:dyDescent="0.25">
      <c r="B38" s="8" t="s">
        <v>64</v>
      </c>
    </row>
    <row r="39" spans="2:3" x14ac:dyDescent="0.25">
      <c r="B39" s="8" t="s">
        <v>65</v>
      </c>
    </row>
    <row r="40" spans="2:3" x14ac:dyDescent="0.25">
      <c r="B40" s="8"/>
    </row>
    <row r="41" spans="2:3" x14ac:dyDescent="0.25">
      <c r="B41" s="8"/>
    </row>
    <row r="42" spans="2:3" x14ac:dyDescent="0.25">
      <c r="B42" s="8"/>
    </row>
    <row r="43" spans="2:3" x14ac:dyDescent="0.25">
      <c r="B43" s="8"/>
    </row>
    <row r="44" spans="2:3" x14ac:dyDescent="0.25">
      <c r="B44" s="8"/>
    </row>
    <row r="45" spans="2:3" x14ac:dyDescent="0.25">
      <c r="B45" s="8"/>
    </row>
    <row r="46" spans="2:3" x14ac:dyDescent="0.25">
      <c r="B46" s="8"/>
    </row>
    <row r="47" spans="2:3" x14ac:dyDescent="0.25">
      <c r="B47" s="8"/>
    </row>
  </sheetData>
  <sheetProtection password="DB87" sheet="1" objects="1" scenarios="1"/>
  <dataValidations count="4">
    <dataValidation type="list" allowBlank="1" showInputMessage="1" showErrorMessage="1" sqref="D9">
      <formula1>noise</formula1>
    </dataValidation>
    <dataValidation type="list" allowBlank="1" showInputMessage="1" showErrorMessage="1" sqref="D7">
      <formula1>averaging</formula1>
    </dataValidation>
    <dataValidation type="list" allowBlank="1" showInputMessage="1" showErrorMessage="1" sqref="D8">
      <formula1>VBW</formula1>
    </dataValidation>
    <dataValidation type="list" allowBlank="1" showInputMessage="1" showErrorMessage="1" sqref="D11">
      <formula1>sensor</formula1>
    </dataValidation>
  </dataValidations>
  <pageMargins left="0.7" right="0.7" top="0.75" bottom="0.75" header="0.3" footer="0.3"/>
  <pageSetup paperSize="9" orientation="portrait" r:id="rId1"/>
  <ignoredErrors>
    <ignoredError sqref="D17:D26 E17:E3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Data!$B$3:$B$4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31" workbookViewId="0">
      <selection activeCell="B52" sqref="B52"/>
    </sheetView>
  </sheetViews>
  <sheetFormatPr defaultRowHeight="15" x14ac:dyDescent="0.25"/>
  <cols>
    <col min="1" max="1" width="32" style="8" customWidth="1"/>
    <col min="2" max="2" width="10" style="8" bestFit="1" customWidth="1"/>
    <col min="3" max="3" width="9.140625" style="8"/>
    <col min="4" max="4" width="9.85546875" style="8" customWidth="1"/>
    <col min="5" max="5" width="12" style="8" bestFit="1" customWidth="1"/>
    <col min="6" max="16384" width="9.140625" style="8"/>
  </cols>
  <sheetData>
    <row r="2" spans="1:12" x14ac:dyDescent="0.25">
      <c r="A2" s="7" t="s">
        <v>4</v>
      </c>
      <c r="B2" s="7" t="s">
        <v>77</v>
      </c>
    </row>
    <row r="3" spans="1:12" x14ac:dyDescent="0.25">
      <c r="A3" s="8" t="s">
        <v>6</v>
      </c>
      <c r="B3" s="8" t="s">
        <v>78</v>
      </c>
    </row>
    <row r="4" spans="1:12" x14ac:dyDescent="0.25">
      <c r="A4" s="8" t="s">
        <v>5</v>
      </c>
      <c r="B4" s="8" t="s">
        <v>79</v>
      </c>
    </row>
    <row r="6" spans="1:12" x14ac:dyDescent="0.25">
      <c r="A6" s="7" t="s">
        <v>8</v>
      </c>
    </row>
    <row r="7" spans="1:12" x14ac:dyDescent="0.25">
      <c r="A7" s="8" t="s">
        <v>9</v>
      </c>
      <c r="B7" s="9">
        <v>9.9999999999999995E-8</v>
      </c>
    </row>
    <row r="8" spans="1:12" x14ac:dyDescent="0.25">
      <c r="A8" s="8" t="s">
        <v>10</v>
      </c>
      <c r="B8" s="10">
        <v>1</v>
      </c>
      <c r="C8" s="10">
        <v>2</v>
      </c>
      <c r="D8" s="10">
        <v>4</v>
      </c>
      <c r="E8" s="10">
        <v>8</v>
      </c>
      <c r="F8" s="10">
        <v>16</v>
      </c>
      <c r="G8" s="10">
        <v>32</v>
      </c>
      <c r="H8" s="10">
        <v>64</v>
      </c>
      <c r="I8" s="10">
        <v>128</v>
      </c>
      <c r="J8" s="10">
        <v>256</v>
      </c>
      <c r="K8" s="10">
        <v>512</v>
      </c>
      <c r="L8" s="10">
        <v>1024</v>
      </c>
    </row>
    <row r="9" spans="1:12" x14ac:dyDescent="0.25">
      <c r="B9" s="10">
        <v>1</v>
      </c>
      <c r="C9" s="10">
        <v>0.9</v>
      </c>
      <c r="D9" s="10">
        <v>0.8</v>
      </c>
      <c r="E9" s="10">
        <v>0.7</v>
      </c>
      <c r="F9" s="10">
        <v>0.6</v>
      </c>
      <c r="G9" s="10">
        <v>0.5</v>
      </c>
      <c r="H9" s="10">
        <v>0.45</v>
      </c>
      <c r="I9" s="10">
        <v>0.4</v>
      </c>
      <c r="J9" s="10">
        <v>0.3</v>
      </c>
      <c r="K9" s="10">
        <v>0.25</v>
      </c>
      <c r="L9" s="10">
        <v>0.2</v>
      </c>
    </row>
    <row r="10" spans="1:12" x14ac:dyDescent="0.25">
      <c r="A10" s="8" t="s">
        <v>7</v>
      </c>
      <c r="B10" s="11" t="s">
        <v>22</v>
      </c>
    </row>
    <row r="11" spans="1:12" ht="15.75" thickBot="1" x14ac:dyDescent="0.3">
      <c r="A11" s="12" t="s">
        <v>24</v>
      </c>
      <c r="B11" s="13">
        <f>(HLOOKUP(Calculator!D7,Data!B8:L9,2,FALSE))*B7</f>
        <v>5.9999999999999995E-8</v>
      </c>
      <c r="C11" s="8" t="s">
        <v>29</v>
      </c>
    </row>
    <row r="12" spans="1:12" ht="15.75" thickTop="1" x14ac:dyDescent="0.25">
      <c r="A12" s="7" t="s">
        <v>5</v>
      </c>
    </row>
    <row r="13" spans="1:12" x14ac:dyDescent="0.25">
      <c r="A13" s="8" t="s">
        <v>11</v>
      </c>
      <c r="B13" s="10">
        <v>0.05</v>
      </c>
      <c r="C13" s="10">
        <v>0.499</v>
      </c>
      <c r="D13" s="10">
        <v>0.5</v>
      </c>
      <c r="E13" s="10">
        <v>0.501</v>
      </c>
      <c r="F13" s="10">
        <v>40</v>
      </c>
    </row>
    <row r="14" spans="1:12" x14ac:dyDescent="0.25">
      <c r="B14" s="14">
        <v>3.0000000000000001E-6</v>
      </c>
      <c r="C14" s="14">
        <v>3.0000000000000001E-6</v>
      </c>
      <c r="D14" s="14">
        <v>2.5000000000000002E-6</v>
      </c>
      <c r="E14" s="14">
        <v>2.5000000000000002E-6</v>
      </c>
      <c r="F14" s="14">
        <v>2.5000000000000002E-6</v>
      </c>
    </row>
    <row r="16" spans="1:12" x14ac:dyDescent="0.25">
      <c r="A16" s="8" t="s">
        <v>14</v>
      </c>
      <c r="B16" s="10"/>
      <c r="C16" s="10" t="s">
        <v>12</v>
      </c>
      <c r="D16" s="10" t="s">
        <v>13</v>
      </c>
    </row>
    <row r="17" spans="1:6" x14ac:dyDescent="0.25">
      <c r="B17" s="10" t="s">
        <v>15</v>
      </c>
      <c r="C17" s="10">
        <v>0.6</v>
      </c>
      <c r="D17" s="10">
        <v>0.55000000000000004</v>
      </c>
    </row>
    <row r="18" spans="1:6" x14ac:dyDescent="0.25">
      <c r="B18" s="10" t="s">
        <v>16</v>
      </c>
      <c r="C18" s="10">
        <v>1.3</v>
      </c>
      <c r="D18" s="10">
        <v>0.65</v>
      </c>
    </row>
    <row r="19" spans="1:6" x14ac:dyDescent="0.25">
      <c r="B19" s="10" t="s">
        <v>17</v>
      </c>
      <c r="C19" s="10">
        <v>2.7</v>
      </c>
      <c r="D19" s="10">
        <v>0.8</v>
      </c>
    </row>
    <row r="20" spans="1:6" x14ac:dyDescent="0.25">
      <c r="B20" s="10" t="s">
        <v>18</v>
      </c>
      <c r="C20" s="10">
        <v>1</v>
      </c>
      <c r="D20" s="10">
        <v>1</v>
      </c>
    </row>
    <row r="21" spans="1:6" x14ac:dyDescent="0.25">
      <c r="A21" s="8" t="s">
        <v>21</v>
      </c>
      <c r="B21" s="15" t="s">
        <v>67</v>
      </c>
    </row>
    <row r="22" spans="1:6" x14ac:dyDescent="0.25">
      <c r="A22" s="12" t="s">
        <v>24</v>
      </c>
      <c r="B22" s="16">
        <f>HLOOKUP(Calculator!D6,B13:F14,2,TRUE)</f>
        <v>2.5000000000000002E-6</v>
      </c>
      <c r="C22" s="17" t="s">
        <v>23</v>
      </c>
      <c r="D22" s="8">
        <f>IF(Calculator!D6&lt;0.5, VLOOKUP(Calculator!D8,Data!B17:C20,2,FALSE), VLOOKUP(Calculator!D8,Data!B17:D20,3,FALSE))</f>
        <v>1</v>
      </c>
      <c r="E22" s="17" t="s">
        <v>23</v>
      </c>
      <c r="F22" s="8">
        <f>1/SQRT(Calculator!D13*1000/12.5)</f>
        <v>5.0000000000000001E-3</v>
      </c>
    </row>
    <row r="23" spans="1:6" x14ac:dyDescent="0.25">
      <c r="A23" s="12" t="s">
        <v>24</v>
      </c>
      <c r="B23" s="16">
        <f>B22*D22*F22</f>
        <v>1.2500000000000001E-8</v>
      </c>
      <c r="C23" s="8" t="s">
        <v>29</v>
      </c>
    </row>
    <row r="24" spans="1:6" x14ac:dyDescent="0.25">
      <c r="A24" s="18" t="s">
        <v>68</v>
      </c>
      <c r="B24" s="16"/>
    </row>
    <row r="25" spans="1:6" ht="15.75" thickBot="1" x14ac:dyDescent="0.3">
      <c r="A25" s="12" t="s">
        <v>24</v>
      </c>
      <c r="B25" s="13">
        <f>IF(B23&gt;=0.0000001, B23, 0.0000001)</f>
        <v>9.9999999999999995E-8</v>
      </c>
    </row>
    <row r="26" spans="1:6" ht="16.5" thickTop="1" thickBot="1" x14ac:dyDescent="0.3">
      <c r="A26" s="19" t="s">
        <v>28</v>
      </c>
      <c r="B26" s="20">
        <f>IF(Calculator!D9="Free run mode", Data!B11,Data!B25)</f>
        <v>5.9999999999999995E-8</v>
      </c>
      <c r="C26" s="8" t="s">
        <v>29</v>
      </c>
    </row>
    <row r="27" spans="1:6" ht="15.75" thickTop="1" x14ac:dyDescent="0.25"/>
    <row r="28" spans="1:6" x14ac:dyDescent="0.25">
      <c r="A28" s="8" t="s">
        <v>33</v>
      </c>
      <c r="B28" s="11" t="s">
        <v>27</v>
      </c>
    </row>
    <row r="29" spans="1:6" ht="15.75" thickBot="1" x14ac:dyDescent="0.3">
      <c r="A29" s="12" t="s">
        <v>24</v>
      </c>
      <c r="B29" s="21">
        <f>IF(Calculator!G5&gt;0.0001, Data!B26/0.0001, Data!B26/Calculator!G5)</f>
        <v>5.9999999999999995E-4</v>
      </c>
    </row>
    <row r="30" spans="1:6" ht="15.75" thickTop="1" x14ac:dyDescent="0.25"/>
    <row r="31" spans="1:6" x14ac:dyDescent="0.25">
      <c r="A31" s="7" t="s">
        <v>26</v>
      </c>
      <c r="B31" s="9">
        <v>9.9999999999999995E-8</v>
      </c>
      <c r="C31" s="8" t="s">
        <v>29</v>
      </c>
    </row>
    <row r="33" spans="1:3" x14ac:dyDescent="0.25">
      <c r="A33" s="7" t="s">
        <v>41</v>
      </c>
      <c r="B33" s="9">
        <v>1.9999999999999999E-7</v>
      </c>
    </row>
    <row r="35" spans="1:3" x14ac:dyDescent="0.25">
      <c r="A35" s="7" t="s">
        <v>44</v>
      </c>
    </row>
    <row r="36" spans="1:3" x14ac:dyDescent="0.25">
      <c r="A36" s="10"/>
      <c r="B36" s="22" t="s">
        <v>45</v>
      </c>
      <c r="C36" s="22" t="s">
        <v>46</v>
      </c>
    </row>
    <row r="37" spans="1:3" x14ac:dyDescent="0.25">
      <c r="A37" s="10">
        <v>0.05</v>
      </c>
      <c r="B37" s="23">
        <v>4.2000000000000003E-2</v>
      </c>
      <c r="C37" s="23">
        <v>4.2999999999999997E-2</v>
      </c>
    </row>
    <row r="38" spans="1:3" x14ac:dyDescent="0.25">
      <c r="A38" s="10">
        <v>0.5</v>
      </c>
      <c r="B38" s="23">
        <v>4.2000000000000003E-2</v>
      </c>
      <c r="C38" s="23">
        <v>4.2999999999999997E-2</v>
      </c>
    </row>
    <row r="39" spans="1:3" x14ac:dyDescent="0.25">
      <c r="A39" s="10">
        <v>0.50009999999999999</v>
      </c>
      <c r="B39" s="23">
        <v>0.04</v>
      </c>
      <c r="C39" s="23">
        <v>4.2000000000000003E-2</v>
      </c>
    </row>
    <row r="40" spans="1:3" x14ac:dyDescent="0.25">
      <c r="A40" s="10">
        <v>1.0009999999999999</v>
      </c>
      <c r="B40" s="24">
        <v>0.04</v>
      </c>
      <c r="C40" s="23">
        <v>4.4999999999999998E-2</v>
      </c>
    </row>
    <row r="41" spans="1:3" x14ac:dyDescent="0.25">
      <c r="A41" s="10">
        <v>10.000999999999999</v>
      </c>
      <c r="B41" s="25">
        <v>4.4999999999999998E-2</v>
      </c>
      <c r="C41" s="23">
        <v>4.4999999999999998E-2</v>
      </c>
    </row>
    <row r="42" spans="1:3" x14ac:dyDescent="0.25">
      <c r="A42" s="10">
        <v>18.001000000000001</v>
      </c>
      <c r="B42" s="23" t="s">
        <v>47</v>
      </c>
      <c r="C42" s="23">
        <v>5.2999999999999999E-2</v>
      </c>
    </row>
    <row r="43" spans="1:3" x14ac:dyDescent="0.25">
      <c r="A43" s="10">
        <v>26.501000000000001</v>
      </c>
      <c r="B43" s="22" t="s">
        <v>47</v>
      </c>
      <c r="C43" s="23">
        <v>5.8000000000000003E-2</v>
      </c>
    </row>
    <row r="44" spans="1:3" x14ac:dyDescent="0.25">
      <c r="A44" s="10">
        <v>40</v>
      </c>
      <c r="B44" s="22" t="s">
        <v>47</v>
      </c>
      <c r="C44" s="23">
        <v>5.8000000000000003E-2</v>
      </c>
    </row>
    <row r="45" spans="1:3" x14ac:dyDescent="0.25">
      <c r="A45" s="26"/>
      <c r="B45" s="27"/>
      <c r="C45" s="28"/>
    </row>
    <row r="46" spans="1:3" x14ac:dyDescent="0.25">
      <c r="A46" s="8" t="s">
        <v>53</v>
      </c>
    </row>
    <row r="47" spans="1:3" x14ac:dyDescent="0.25">
      <c r="A47" s="10"/>
      <c r="B47" s="10" t="s">
        <v>45</v>
      </c>
      <c r="C47" s="10" t="s">
        <v>46</v>
      </c>
    </row>
    <row r="48" spans="1:3" x14ac:dyDescent="0.25">
      <c r="A48" s="10">
        <v>0.05</v>
      </c>
      <c r="B48" s="10">
        <v>1.2</v>
      </c>
      <c r="C48" s="29">
        <v>1.2</v>
      </c>
    </row>
    <row r="49" spans="1:6" x14ac:dyDescent="0.25">
      <c r="A49" s="10">
        <v>10</v>
      </c>
      <c r="B49" s="10">
        <v>1.2</v>
      </c>
      <c r="C49" s="29">
        <v>1.2</v>
      </c>
    </row>
    <row r="50" spans="1:6" x14ac:dyDescent="0.25">
      <c r="A50" s="10">
        <v>10.000999999999999</v>
      </c>
      <c r="B50" s="10">
        <v>1.26</v>
      </c>
      <c r="C50" s="30">
        <v>1.26</v>
      </c>
    </row>
    <row r="51" spans="1:6" x14ac:dyDescent="0.25">
      <c r="A51" s="10">
        <v>18</v>
      </c>
      <c r="B51" s="10">
        <v>1.26</v>
      </c>
      <c r="C51" s="30">
        <v>1.26</v>
      </c>
    </row>
    <row r="52" spans="1:6" x14ac:dyDescent="0.25">
      <c r="A52" s="10">
        <v>18.001000000000001</v>
      </c>
      <c r="B52" s="10" t="s">
        <v>47</v>
      </c>
      <c r="C52" s="29">
        <v>1.3</v>
      </c>
    </row>
    <row r="53" spans="1:6" x14ac:dyDescent="0.25">
      <c r="A53" s="10">
        <v>26.5</v>
      </c>
      <c r="B53" s="10" t="s">
        <v>47</v>
      </c>
      <c r="C53" s="29">
        <v>1.3</v>
      </c>
    </row>
    <row r="54" spans="1:6" x14ac:dyDescent="0.25">
      <c r="A54" s="10">
        <v>26.501000000000001</v>
      </c>
      <c r="B54" s="10" t="s">
        <v>47</v>
      </c>
      <c r="C54" s="29">
        <v>1.5</v>
      </c>
    </row>
    <row r="55" spans="1:6" x14ac:dyDescent="0.25">
      <c r="A55" s="10">
        <v>40</v>
      </c>
      <c r="B55" s="10" t="s">
        <v>47</v>
      </c>
      <c r="C55" s="29">
        <v>1.5</v>
      </c>
    </row>
    <row r="56" spans="1:6" x14ac:dyDescent="0.25">
      <c r="C56" s="31"/>
    </row>
    <row r="57" spans="1:6" x14ac:dyDescent="0.25">
      <c r="B57" s="17" t="s">
        <v>69</v>
      </c>
      <c r="C57" s="31" t="s">
        <v>70</v>
      </c>
    </row>
    <row r="58" spans="1:6" x14ac:dyDescent="0.25">
      <c r="A58" s="8" t="s">
        <v>53</v>
      </c>
      <c r="B58" s="17">
        <f>Calculator!D25</f>
        <v>1.2</v>
      </c>
      <c r="C58" s="17">
        <f>(B58-1)/(B58+1)</f>
        <v>9.0909090909090884E-2</v>
      </c>
    </row>
    <row r="59" spans="1:6" x14ac:dyDescent="0.25">
      <c r="A59" s="8" t="s">
        <v>54</v>
      </c>
      <c r="B59" s="17">
        <f>Calculator!D12</f>
        <v>1.26</v>
      </c>
      <c r="C59" s="17">
        <f>(B59-1)/(B59+1)</f>
        <v>0.11504424778761063</v>
      </c>
    </row>
    <row r="61" spans="1:6" x14ac:dyDescent="0.25">
      <c r="A61" s="7" t="s">
        <v>79</v>
      </c>
    </row>
    <row r="62" spans="1:6" x14ac:dyDescent="0.25">
      <c r="A62" s="8" t="s">
        <v>41</v>
      </c>
      <c r="B62" s="9">
        <v>1E-8</v>
      </c>
    </row>
    <row r="63" spans="1:6" x14ac:dyDescent="0.25">
      <c r="A63" s="8" t="s">
        <v>87</v>
      </c>
      <c r="B63" s="9">
        <v>6E-9</v>
      </c>
    </row>
    <row r="64" spans="1:6" x14ac:dyDescent="0.25">
      <c r="A64" s="8" t="s">
        <v>4</v>
      </c>
      <c r="B64" s="9">
        <v>4.0000000000000002E-9</v>
      </c>
      <c r="D64" s="8" t="s">
        <v>92</v>
      </c>
      <c r="F64" s="8">
        <f>HLOOKUP(Calculator!D7,Data!B68:L69,2,FALSE)</f>
        <v>1</v>
      </c>
    </row>
    <row r="65" spans="1:12" x14ac:dyDescent="0.25">
      <c r="A65" s="8" t="s">
        <v>91</v>
      </c>
      <c r="B65" s="9">
        <f>B64*F64</f>
        <v>4.0000000000000002E-9</v>
      </c>
    </row>
    <row r="67" spans="1:12" x14ac:dyDescent="0.25">
      <c r="A67" s="8" t="s">
        <v>88</v>
      </c>
    </row>
    <row r="68" spans="1:12" x14ac:dyDescent="0.25">
      <c r="A68" s="10" t="s">
        <v>20</v>
      </c>
      <c r="B68" s="10">
        <v>1</v>
      </c>
      <c r="C68" s="10">
        <v>2</v>
      </c>
      <c r="D68" s="10">
        <v>4</v>
      </c>
      <c r="E68" s="10">
        <v>8</v>
      </c>
      <c r="F68" s="10">
        <v>16</v>
      </c>
      <c r="G68" s="10">
        <v>32</v>
      </c>
      <c r="H68" s="10">
        <v>64</v>
      </c>
      <c r="I68" s="10">
        <v>128</v>
      </c>
      <c r="J68" s="10">
        <v>256</v>
      </c>
      <c r="K68" s="10">
        <v>512</v>
      </c>
      <c r="L68" s="10">
        <v>1024</v>
      </c>
    </row>
    <row r="69" spans="1:12" x14ac:dyDescent="0.25">
      <c r="A69" s="10" t="s">
        <v>89</v>
      </c>
      <c r="B69" s="32">
        <v>4.25</v>
      </c>
      <c r="C69" s="10">
        <v>2.84</v>
      </c>
      <c r="D69" s="10">
        <v>2.15</v>
      </c>
      <c r="E69" s="10">
        <v>1.52</v>
      </c>
      <c r="F69" s="10">
        <v>1</v>
      </c>
      <c r="G69" s="10">
        <v>0.78</v>
      </c>
      <c r="H69" s="10">
        <v>0.71</v>
      </c>
      <c r="I69" s="10">
        <v>0.52</v>
      </c>
      <c r="J69" s="10">
        <v>0.5</v>
      </c>
      <c r="K69" s="10">
        <v>0.47</v>
      </c>
      <c r="L69" s="10">
        <v>0.42</v>
      </c>
    </row>
    <row r="70" spans="1:12" x14ac:dyDescent="0.25">
      <c r="A70" s="10" t="s">
        <v>90</v>
      </c>
      <c r="B70" s="32">
        <v>5.88</v>
      </c>
      <c r="C70" s="10">
        <v>4</v>
      </c>
      <c r="D70" s="10">
        <v>2.93</v>
      </c>
      <c r="E70" s="10">
        <v>1.89</v>
      </c>
      <c r="F70" s="10">
        <v>1.56</v>
      </c>
      <c r="G70" s="10">
        <v>1</v>
      </c>
      <c r="H70" s="10">
        <v>0.73</v>
      </c>
      <c r="I70" s="10">
        <v>0.55000000000000004</v>
      </c>
      <c r="J70" s="10">
        <v>0.52</v>
      </c>
      <c r="K70" s="10">
        <v>0.48</v>
      </c>
      <c r="L70" s="10">
        <v>0.44</v>
      </c>
    </row>
    <row r="74" spans="1:12" x14ac:dyDescent="0.25">
      <c r="A74" s="8" t="s">
        <v>94</v>
      </c>
    </row>
    <row r="75" spans="1:12" x14ac:dyDescent="0.25">
      <c r="A75" s="10"/>
      <c r="B75" s="10" t="s">
        <v>71</v>
      </c>
    </row>
    <row r="76" spans="1:12" x14ac:dyDescent="0.25">
      <c r="A76" s="10" t="s">
        <v>45</v>
      </c>
      <c r="B76" s="10" t="str">
        <f>IF(OR(Calculator!D6&gt;18, Calculator!D6&lt;0.05), "Invalid input!", " ")</f>
        <v xml:space="preserve"> </v>
      </c>
    </row>
    <row r="77" spans="1:12" x14ac:dyDescent="0.25">
      <c r="A77" s="10" t="s">
        <v>46</v>
      </c>
      <c r="B77" s="10" t="str">
        <f>IF(OR(Calculator!D6&gt;40, Calculator!D6&lt;0.05), "Invalid input!", " ")</f>
        <v xml:space="preserve"> </v>
      </c>
    </row>
    <row r="79" spans="1:12" x14ac:dyDescent="0.25">
      <c r="A79" s="10" t="s">
        <v>93</v>
      </c>
      <c r="B79" s="10" t="s">
        <v>78</v>
      </c>
      <c r="C79" s="10" t="s">
        <v>79</v>
      </c>
    </row>
    <row r="80" spans="1:12" x14ac:dyDescent="0.25">
      <c r="A80" s="10" t="s">
        <v>45</v>
      </c>
      <c r="B80" s="10" t="str">
        <f>IF(OR(Calculator!D5&gt;20, Calculator!D5&lt;-35), "Invalid input!", " ")</f>
        <v xml:space="preserve"> </v>
      </c>
      <c r="C80" s="10" t="str">
        <f>IF(OR(Calculator!D5&gt;20, Calculator!D5&lt;-45), "Invalid input!", " ")</f>
        <v xml:space="preserve"> </v>
      </c>
    </row>
    <row r="81" spans="1:3" x14ac:dyDescent="0.25">
      <c r="A81" s="10" t="s">
        <v>46</v>
      </c>
      <c r="B81" s="10" t="str">
        <f>IF(OR(Calculator!D5&gt;20, Calculator!D5&lt;-35), "Invalid input!", " ")</f>
        <v xml:space="preserve"> </v>
      </c>
      <c r="C81" s="10" t="str">
        <f>IF(OR(Calculator!D5&gt;20, Calculator!D5&lt;-45), "Invalid input!", " ")</f>
        <v xml:space="preserve"> </v>
      </c>
    </row>
  </sheetData>
  <sheetProtection password="DB87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29" sqref="C29"/>
    </sheetView>
  </sheetViews>
  <sheetFormatPr defaultRowHeight="15" x14ac:dyDescent="0.25"/>
  <cols>
    <col min="1" max="1" width="7.42578125" style="8" customWidth="1"/>
    <col min="2" max="2" width="11" style="8" customWidth="1"/>
    <col min="3" max="3" width="69.85546875" style="8" customWidth="1"/>
    <col min="4" max="16384" width="9.140625" style="8"/>
  </cols>
  <sheetData>
    <row r="1" spans="1:3" x14ac:dyDescent="0.25">
      <c r="A1" s="7" t="s">
        <v>81</v>
      </c>
    </row>
    <row r="2" spans="1:3" x14ac:dyDescent="0.25">
      <c r="A2" s="8" t="s">
        <v>82</v>
      </c>
      <c r="B2" s="33">
        <v>41204</v>
      </c>
      <c r="C2" s="8" t="s">
        <v>83</v>
      </c>
    </row>
    <row r="3" spans="1:3" x14ac:dyDescent="0.25">
      <c r="A3" s="8" t="s">
        <v>84</v>
      </c>
      <c r="B3" s="33">
        <v>41677</v>
      </c>
      <c r="C3" s="8" t="s">
        <v>85</v>
      </c>
    </row>
  </sheetData>
  <sheetProtection password="DB8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Calculator</vt:lpstr>
      <vt:lpstr>Data</vt:lpstr>
      <vt:lpstr>Revision history</vt:lpstr>
      <vt:lpstr>averaging</vt:lpstr>
      <vt:lpstr>noise</vt:lpstr>
      <vt:lpstr>sensor</vt:lpstr>
      <vt:lpstr>VBW</vt:lpstr>
    </vt:vector>
  </TitlesOfParts>
  <Company>Agilent Technologies,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sookhua</dc:creator>
  <cp:lastModifiedBy>Administrator</cp:lastModifiedBy>
  <dcterms:created xsi:type="dcterms:W3CDTF">2012-10-01T08:09:35Z</dcterms:created>
  <dcterms:modified xsi:type="dcterms:W3CDTF">2014-02-14T02:02:01Z</dcterms:modified>
</cp:coreProperties>
</file>