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1695" yWindow="735" windowWidth="20175" windowHeight="8850"/>
  </bookViews>
  <sheets>
    <sheet name="Sheet" sheetId="1" r:id="rId1"/>
  </sheets>
  <definedNames>
    <definedName name="_xlnm.Print_Area" localSheetId="0">Sheet!$A$1:$I$336</definedName>
  </definedNames>
  <calcPr calcId="162913"/>
</workbook>
</file>

<file path=xl/calcChain.xml><?xml version="1.0" encoding="utf-8"?>
<calcChain xmlns="http://schemas.openxmlformats.org/spreadsheetml/2006/main">
  <c r="I334" i="1" l="1"/>
  <c r="I333" i="1"/>
  <c r="H330" i="1"/>
  <c r="F330" i="1" s="1"/>
  <c r="G330" i="1"/>
  <c r="I330" i="1" s="1"/>
  <c r="D330" i="1"/>
  <c r="I329" i="1"/>
  <c r="H329" i="1"/>
  <c r="F329" i="1" s="1"/>
  <c r="G329" i="1"/>
  <c r="D329" i="1"/>
  <c r="H328" i="1"/>
  <c r="I328" i="1" s="1"/>
  <c r="G328" i="1"/>
  <c r="D328" i="1"/>
  <c r="F328" i="1" s="1"/>
  <c r="H327" i="1"/>
  <c r="I327" i="1" s="1"/>
  <c r="G327" i="1"/>
  <c r="F327" i="1"/>
  <c r="E327" i="1"/>
  <c r="D327" i="1"/>
  <c r="H326" i="1"/>
  <c r="F326" i="1" s="1"/>
  <c r="G326" i="1"/>
  <c r="I326" i="1" s="1"/>
  <c r="D326" i="1"/>
  <c r="I325" i="1"/>
  <c r="H325" i="1"/>
  <c r="F325" i="1" s="1"/>
  <c r="G325" i="1"/>
  <c r="D325" i="1"/>
  <c r="H324" i="1"/>
  <c r="G324" i="1"/>
  <c r="I324" i="1" s="1"/>
  <c r="D324" i="1"/>
  <c r="F324" i="1" s="1"/>
  <c r="I323" i="1"/>
  <c r="H323" i="1"/>
  <c r="F323" i="1" s="1"/>
  <c r="G323" i="1"/>
  <c r="D323" i="1"/>
  <c r="I322" i="1"/>
  <c r="H322" i="1"/>
  <c r="F322" i="1" s="1"/>
  <c r="G322" i="1"/>
  <c r="D322" i="1"/>
  <c r="E322" i="1" s="1"/>
  <c r="I321" i="1"/>
  <c r="H321" i="1"/>
  <c r="G321" i="1"/>
  <c r="F321" i="1"/>
  <c r="D321" i="1"/>
  <c r="E321" i="1" s="1"/>
  <c r="H320" i="1"/>
  <c r="F320" i="1" s="1"/>
  <c r="G320" i="1"/>
  <c r="I320" i="1" s="1"/>
  <c r="D320" i="1"/>
  <c r="I319" i="1"/>
  <c r="H319" i="1"/>
  <c r="F319" i="1" s="1"/>
  <c r="G319" i="1"/>
  <c r="D319" i="1"/>
  <c r="H318" i="1"/>
  <c r="I318" i="1" s="1"/>
  <c r="G318" i="1"/>
  <c r="D318" i="1"/>
  <c r="F318" i="1" s="1"/>
  <c r="H317" i="1"/>
  <c r="I317" i="1" s="1"/>
  <c r="G317" i="1"/>
  <c r="F317" i="1"/>
  <c r="E317" i="1"/>
  <c r="D317" i="1"/>
  <c r="H316" i="1"/>
  <c r="F316" i="1" s="1"/>
  <c r="G316" i="1"/>
  <c r="I316" i="1" s="1"/>
  <c r="D316" i="1"/>
  <c r="I315" i="1"/>
  <c r="H315" i="1"/>
  <c r="F315" i="1" s="1"/>
  <c r="G315" i="1"/>
  <c r="D315" i="1"/>
  <c r="H314" i="1"/>
  <c r="G314" i="1"/>
  <c r="I314" i="1" s="1"/>
  <c r="D314" i="1"/>
  <c r="F314" i="1" s="1"/>
  <c r="I313" i="1"/>
  <c r="H313" i="1"/>
  <c r="F313" i="1" s="1"/>
  <c r="G313" i="1"/>
  <c r="D313" i="1"/>
  <c r="I309" i="1"/>
  <c r="H309" i="1"/>
  <c r="F309" i="1" s="1"/>
  <c r="G309" i="1"/>
  <c r="D309" i="1"/>
  <c r="I308" i="1"/>
  <c r="H308" i="1"/>
  <c r="E308" i="1" s="1"/>
  <c r="G308" i="1"/>
  <c r="F308" i="1"/>
  <c r="D308" i="1"/>
  <c r="H307" i="1"/>
  <c r="F307" i="1" s="1"/>
  <c r="G307" i="1"/>
  <c r="I307" i="1" s="1"/>
  <c r="D307" i="1"/>
  <c r="I306" i="1"/>
  <c r="H306" i="1"/>
  <c r="F306" i="1" s="1"/>
  <c r="G306" i="1"/>
  <c r="D306" i="1"/>
  <c r="H304" i="1"/>
  <c r="F304" i="1" s="1"/>
  <c r="G304" i="1"/>
  <c r="I304" i="1" s="1"/>
  <c r="D304" i="1"/>
  <c r="H303" i="1"/>
  <c r="G303" i="1"/>
  <c r="I303" i="1" s="1"/>
  <c r="F303" i="1"/>
  <c r="E303" i="1"/>
  <c r="D303" i="1"/>
  <c r="H302" i="1"/>
  <c r="F302" i="1" s="1"/>
  <c r="G302" i="1"/>
  <c r="I302" i="1" s="1"/>
  <c r="D302" i="1"/>
  <c r="I301" i="1"/>
  <c r="H301" i="1"/>
  <c r="F301" i="1" s="1"/>
  <c r="G301" i="1"/>
  <c r="D301" i="1"/>
  <c r="H299" i="1"/>
  <c r="F299" i="1" s="1"/>
  <c r="G299" i="1"/>
  <c r="I299" i="1" s="1"/>
  <c r="D299" i="1"/>
  <c r="I298" i="1"/>
  <c r="H298" i="1"/>
  <c r="F298" i="1" s="1"/>
  <c r="G298" i="1"/>
  <c r="D298" i="1"/>
  <c r="I297" i="1"/>
  <c r="H297" i="1"/>
  <c r="F297" i="1" s="1"/>
  <c r="G297" i="1"/>
  <c r="D297" i="1"/>
  <c r="I296" i="1"/>
  <c r="H296" i="1"/>
  <c r="E296" i="1" s="1"/>
  <c r="G296" i="1"/>
  <c r="F296" i="1"/>
  <c r="D296" i="1"/>
  <c r="H294" i="1"/>
  <c r="F294" i="1" s="1"/>
  <c r="G294" i="1"/>
  <c r="I294" i="1" s="1"/>
  <c r="D294" i="1"/>
  <c r="I293" i="1"/>
  <c r="H293" i="1"/>
  <c r="F293" i="1" s="1"/>
  <c r="G293" i="1"/>
  <c r="D293" i="1"/>
  <c r="H292" i="1"/>
  <c r="F292" i="1" s="1"/>
  <c r="G292" i="1"/>
  <c r="I292" i="1" s="1"/>
  <c r="D292" i="1"/>
  <c r="H291" i="1"/>
  <c r="G291" i="1"/>
  <c r="I291" i="1" s="1"/>
  <c r="F291" i="1"/>
  <c r="E291" i="1"/>
  <c r="D291" i="1"/>
  <c r="H289" i="1"/>
  <c r="F289" i="1" s="1"/>
  <c r="G289" i="1"/>
  <c r="I289" i="1" s="1"/>
  <c r="D289" i="1"/>
  <c r="I288" i="1"/>
  <c r="H288" i="1"/>
  <c r="E288" i="1" s="1"/>
  <c r="G288" i="1"/>
  <c r="F288" i="1"/>
  <c r="D288" i="1"/>
  <c r="H287" i="1"/>
  <c r="F287" i="1" s="1"/>
  <c r="G287" i="1"/>
  <c r="I287" i="1" s="1"/>
  <c r="D287" i="1"/>
  <c r="I286" i="1"/>
  <c r="H286" i="1"/>
  <c r="F286" i="1" s="1"/>
  <c r="G286" i="1"/>
  <c r="D286" i="1"/>
  <c r="I284" i="1"/>
  <c r="H284" i="1"/>
  <c r="F284" i="1" s="1"/>
  <c r="G284" i="1"/>
  <c r="D284" i="1"/>
  <c r="I283" i="1"/>
  <c r="H283" i="1"/>
  <c r="E283" i="1" s="1"/>
  <c r="G283" i="1"/>
  <c r="F283" i="1"/>
  <c r="D283" i="1"/>
  <c r="H282" i="1"/>
  <c r="F282" i="1" s="1"/>
  <c r="G282" i="1"/>
  <c r="I282" i="1" s="1"/>
  <c r="D282" i="1"/>
  <c r="I281" i="1"/>
  <c r="H281" i="1"/>
  <c r="F281" i="1" s="1"/>
  <c r="G281" i="1"/>
  <c r="D281" i="1"/>
  <c r="H279" i="1"/>
  <c r="F279" i="1" s="1"/>
  <c r="G279" i="1"/>
  <c r="I279" i="1" s="1"/>
  <c r="D279" i="1"/>
  <c r="H278" i="1"/>
  <c r="G278" i="1"/>
  <c r="I278" i="1" s="1"/>
  <c r="F278" i="1"/>
  <c r="E278" i="1"/>
  <c r="D278" i="1"/>
  <c r="H277" i="1"/>
  <c r="F277" i="1" s="1"/>
  <c r="G277" i="1"/>
  <c r="I277" i="1" s="1"/>
  <c r="D277" i="1"/>
  <c r="I276" i="1"/>
  <c r="H276" i="1"/>
  <c r="E276" i="1" s="1"/>
  <c r="G276" i="1"/>
  <c r="F276" i="1"/>
  <c r="D276" i="1"/>
  <c r="H274" i="1"/>
  <c r="F274" i="1" s="1"/>
  <c r="G274" i="1"/>
  <c r="D274" i="1"/>
  <c r="I274" i="1" s="1"/>
  <c r="I273" i="1"/>
  <c r="H273" i="1"/>
  <c r="F273" i="1" s="1"/>
  <c r="G273" i="1"/>
  <c r="D273" i="1"/>
  <c r="I272" i="1"/>
  <c r="H272" i="1"/>
  <c r="F272" i="1" s="1"/>
  <c r="G272" i="1"/>
  <c r="D272" i="1"/>
  <c r="I271" i="1"/>
  <c r="H271" i="1"/>
  <c r="E271" i="1" s="1"/>
  <c r="G271" i="1"/>
  <c r="F271" i="1"/>
  <c r="D271" i="1"/>
  <c r="H262" i="1"/>
  <c r="F262" i="1" s="1"/>
  <c r="G262" i="1"/>
  <c r="I262" i="1" s="1"/>
  <c r="D262" i="1"/>
  <c r="E262" i="1" s="1"/>
  <c r="I261" i="1"/>
  <c r="H261" i="1"/>
  <c r="F261" i="1" s="1"/>
  <c r="G261" i="1"/>
  <c r="D261" i="1"/>
  <c r="H260" i="1"/>
  <c r="G260" i="1"/>
  <c r="I260" i="1" s="1"/>
  <c r="D260" i="1"/>
  <c r="F260" i="1" s="1"/>
  <c r="H259" i="1"/>
  <c r="G259" i="1"/>
  <c r="I259" i="1" s="1"/>
  <c r="F259" i="1"/>
  <c r="E259" i="1"/>
  <c r="D259" i="1"/>
  <c r="H258" i="1"/>
  <c r="F258" i="1" s="1"/>
  <c r="G258" i="1"/>
  <c r="I258" i="1" s="1"/>
  <c r="D258" i="1"/>
  <c r="I257" i="1"/>
  <c r="H257" i="1"/>
  <c r="E257" i="1" s="1"/>
  <c r="G257" i="1"/>
  <c r="F257" i="1"/>
  <c r="D257" i="1"/>
  <c r="H256" i="1"/>
  <c r="G256" i="1"/>
  <c r="I256" i="1" s="1"/>
  <c r="D256" i="1"/>
  <c r="F256" i="1" s="1"/>
  <c r="I255" i="1"/>
  <c r="H255" i="1"/>
  <c r="F255" i="1" s="1"/>
  <c r="G255" i="1"/>
  <c r="E255" i="1"/>
  <c r="D255" i="1"/>
  <c r="H254" i="1"/>
  <c r="G254" i="1"/>
  <c r="I254" i="1" s="1"/>
  <c r="D254" i="1"/>
  <c r="F254" i="1" s="1"/>
  <c r="I253" i="1"/>
  <c r="H253" i="1"/>
  <c r="E253" i="1" s="1"/>
  <c r="G253" i="1"/>
  <c r="F253" i="1"/>
  <c r="D253" i="1"/>
  <c r="H252" i="1"/>
  <c r="F252" i="1" s="1"/>
  <c r="G252" i="1"/>
  <c r="I252" i="1" s="1"/>
  <c r="D252" i="1"/>
  <c r="E252" i="1" s="1"/>
  <c r="I251" i="1"/>
  <c r="H251" i="1"/>
  <c r="F251" i="1" s="1"/>
  <c r="G251" i="1"/>
  <c r="D251" i="1"/>
  <c r="H250" i="1"/>
  <c r="G250" i="1"/>
  <c r="I250" i="1" s="1"/>
  <c r="D250" i="1"/>
  <c r="F250" i="1" s="1"/>
  <c r="H249" i="1"/>
  <c r="G249" i="1"/>
  <c r="I249" i="1" s="1"/>
  <c r="F249" i="1"/>
  <c r="E249" i="1"/>
  <c r="D249" i="1"/>
  <c r="H248" i="1"/>
  <c r="F248" i="1" s="1"/>
  <c r="G248" i="1"/>
  <c r="I248" i="1" s="1"/>
  <c r="D248" i="1"/>
  <c r="I247" i="1"/>
  <c r="H247" i="1"/>
  <c r="E247" i="1" s="1"/>
  <c r="G247" i="1"/>
  <c r="F247" i="1"/>
  <c r="D247" i="1"/>
  <c r="H246" i="1"/>
  <c r="G246" i="1"/>
  <c r="I246" i="1" s="1"/>
  <c r="D246" i="1"/>
  <c r="F246" i="1" s="1"/>
  <c r="I245" i="1"/>
  <c r="H245" i="1"/>
  <c r="G245" i="1"/>
  <c r="E245" i="1"/>
  <c r="D245" i="1"/>
  <c r="F245" i="1" s="1"/>
  <c r="H244" i="1"/>
  <c r="G244" i="1"/>
  <c r="I244" i="1" s="1"/>
  <c r="D244" i="1"/>
  <c r="F244" i="1" s="1"/>
  <c r="H243" i="1"/>
  <c r="I243" i="1" s="1"/>
  <c r="G243" i="1"/>
  <c r="F243" i="1"/>
  <c r="D243" i="1"/>
  <c r="E243" i="1" s="1"/>
  <c r="H242" i="1"/>
  <c r="F242" i="1" s="1"/>
  <c r="G242" i="1"/>
  <c r="I242" i="1" s="1"/>
  <c r="D242" i="1"/>
  <c r="E242" i="1" s="1"/>
  <c r="I241" i="1"/>
  <c r="H241" i="1"/>
  <c r="F241" i="1" s="1"/>
  <c r="G241" i="1"/>
  <c r="D241" i="1"/>
  <c r="H240" i="1"/>
  <c r="G240" i="1"/>
  <c r="I240" i="1" s="1"/>
  <c r="D240" i="1"/>
  <c r="F240" i="1" s="1"/>
  <c r="H239" i="1"/>
  <c r="G239" i="1"/>
  <c r="I239" i="1" s="1"/>
  <c r="F239" i="1"/>
  <c r="E239" i="1"/>
  <c r="D239" i="1"/>
  <c r="H238" i="1"/>
  <c r="F238" i="1" s="1"/>
  <c r="G238" i="1"/>
  <c r="I238" i="1" s="1"/>
  <c r="D238" i="1"/>
  <c r="E238" i="1" s="1"/>
  <c r="I237" i="1"/>
  <c r="H237" i="1"/>
  <c r="G237" i="1"/>
  <c r="F237" i="1"/>
  <c r="D237" i="1"/>
  <c r="E237" i="1" s="1"/>
  <c r="H236" i="1"/>
  <c r="G236" i="1"/>
  <c r="I236" i="1" s="1"/>
  <c r="D236" i="1"/>
  <c r="F236" i="1" s="1"/>
  <c r="I235" i="1"/>
  <c r="H235" i="1"/>
  <c r="G235" i="1"/>
  <c r="E235" i="1"/>
  <c r="D235" i="1"/>
  <c r="F235" i="1" s="1"/>
  <c r="H234" i="1"/>
  <c r="G234" i="1"/>
  <c r="I234" i="1" s="1"/>
  <c r="D234" i="1"/>
  <c r="F234" i="1" s="1"/>
  <c r="H233" i="1"/>
  <c r="I233" i="1" s="1"/>
  <c r="G233" i="1"/>
  <c r="F233" i="1"/>
  <c r="D233" i="1"/>
  <c r="E233" i="1" s="1"/>
  <c r="H232" i="1"/>
  <c r="F232" i="1" s="1"/>
  <c r="G232" i="1"/>
  <c r="I232" i="1" s="1"/>
  <c r="D232" i="1"/>
  <c r="E232" i="1" s="1"/>
  <c r="I231" i="1"/>
  <c r="H231" i="1"/>
  <c r="F231" i="1" s="1"/>
  <c r="G231" i="1"/>
  <c r="D231" i="1"/>
  <c r="H230" i="1"/>
  <c r="G230" i="1"/>
  <c r="I230" i="1" s="1"/>
  <c r="D230" i="1"/>
  <c r="F230" i="1" s="1"/>
  <c r="H229" i="1"/>
  <c r="G229" i="1"/>
  <c r="I229" i="1" s="1"/>
  <c r="F229" i="1"/>
  <c r="E229" i="1"/>
  <c r="D229" i="1"/>
  <c r="H228" i="1"/>
  <c r="F228" i="1" s="1"/>
  <c r="G228" i="1"/>
  <c r="I228" i="1" s="1"/>
  <c r="D228" i="1"/>
  <c r="E228" i="1" s="1"/>
  <c r="I227" i="1"/>
  <c r="H227" i="1"/>
  <c r="G227" i="1"/>
  <c r="F227" i="1"/>
  <c r="D227" i="1"/>
  <c r="E227" i="1" s="1"/>
  <c r="H226" i="1"/>
  <c r="G226" i="1"/>
  <c r="I226" i="1" s="1"/>
  <c r="D226" i="1"/>
  <c r="F226" i="1" s="1"/>
  <c r="I225" i="1"/>
  <c r="H225" i="1"/>
  <c r="G225" i="1"/>
  <c r="E225" i="1"/>
  <c r="D225" i="1"/>
  <c r="F225" i="1" s="1"/>
  <c r="H224" i="1"/>
  <c r="G224" i="1"/>
  <c r="I224" i="1" s="1"/>
  <c r="D224" i="1"/>
  <c r="F224" i="1" s="1"/>
  <c r="H223" i="1"/>
  <c r="I223" i="1" s="1"/>
  <c r="G223" i="1"/>
  <c r="F223" i="1"/>
  <c r="D223" i="1"/>
  <c r="E223" i="1" s="1"/>
  <c r="H222" i="1"/>
  <c r="F222" i="1" s="1"/>
  <c r="G222" i="1"/>
  <c r="I222" i="1" s="1"/>
  <c r="D222" i="1"/>
  <c r="E222" i="1" s="1"/>
  <c r="I221" i="1"/>
  <c r="H221" i="1"/>
  <c r="F221" i="1" s="1"/>
  <c r="G221" i="1"/>
  <c r="D221" i="1"/>
  <c r="H220" i="1"/>
  <c r="G220" i="1"/>
  <c r="I220" i="1" s="1"/>
  <c r="D220" i="1"/>
  <c r="F220" i="1" s="1"/>
  <c r="H219" i="1"/>
  <c r="G219" i="1"/>
  <c r="I219" i="1" s="1"/>
  <c r="F219" i="1"/>
  <c r="E219" i="1"/>
  <c r="D219" i="1"/>
  <c r="H218" i="1"/>
  <c r="F218" i="1" s="1"/>
  <c r="G218" i="1"/>
  <c r="I218" i="1" s="1"/>
  <c r="D218" i="1"/>
  <c r="E218" i="1" s="1"/>
  <c r="I217" i="1"/>
  <c r="H217" i="1"/>
  <c r="G217" i="1"/>
  <c r="F217" i="1"/>
  <c r="D217" i="1"/>
  <c r="E217" i="1" s="1"/>
  <c r="H216" i="1"/>
  <c r="G216" i="1"/>
  <c r="I216" i="1" s="1"/>
  <c r="D216" i="1"/>
  <c r="F216" i="1" s="1"/>
  <c r="I215" i="1"/>
  <c r="H215" i="1"/>
  <c r="G215" i="1"/>
  <c r="E215" i="1"/>
  <c r="D215" i="1"/>
  <c r="F215" i="1" s="1"/>
  <c r="H214" i="1"/>
  <c r="G214" i="1"/>
  <c r="I214" i="1" s="1"/>
  <c r="D214" i="1"/>
  <c r="F214" i="1" s="1"/>
  <c r="H213" i="1"/>
  <c r="I213" i="1" s="1"/>
  <c r="G213" i="1"/>
  <c r="F213" i="1"/>
  <c r="D213" i="1"/>
  <c r="E213" i="1" s="1"/>
  <c r="H212" i="1"/>
  <c r="F212" i="1" s="1"/>
  <c r="G212" i="1"/>
  <c r="I212" i="1" s="1"/>
  <c r="D212" i="1"/>
  <c r="E212" i="1" s="1"/>
  <c r="I211" i="1"/>
  <c r="H211" i="1"/>
  <c r="F211" i="1" s="1"/>
  <c r="G211" i="1"/>
  <c r="D211" i="1"/>
  <c r="H210" i="1"/>
  <c r="G210" i="1"/>
  <c r="I210" i="1" s="1"/>
  <c r="D210" i="1"/>
  <c r="F210" i="1" s="1"/>
  <c r="H209" i="1"/>
  <c r="G209" i="1"/>
  <c r="I209" i="1" s="1"/>
  <c r="F209" i="1"/>
  <c r="E209" i="1"/>
  <c r="D209" i="1"/>
  <c r="H208" i="1"/>
  <c r="F208" i="1" s="1"/>
  <c r="G208" i="1"/>
  <c r="I208" i="1" s="1"/>
  <c r="D208" i="1"/>
  <c r="E208" i="1" s="1"/>
  <c r="I207" i="1"/>
  <c r="H207" i="1"/>
  <c r="G207" i="1"/>
  <c r="F207" i="1"/>
  <c r="D207" i="1"/>
  <c r="E207" i="1" s="1"/>
  <c r="H206" i="1"/>
  <c r="G206" i="1"/>
  <c r="I206" i="1" s="1"/>
  <c r="D206" i="1"/>
  <c r="F206" i="1" s="1"/>
  <c r="I205" i="1"/>
  <c r="H205" i="1"/>
  <c r="G205" i="1"/>
  <c r="E205" i="1"/>
  <c r="D205" i="1"/>
  <c r="F205" i="1" s="1"/>
  <c r="H204" i="1"/>
  <c r="G204" i="1"/>
  <c r="I204" i="1" s="1"/>
  <c r="D204" i="1"/>
  <c r="F204" i="1" s="1"/>
  <c r="H203" i="1"/>
  <c r="I203" i="1" s="1"/>
  <c r="G203" i="1"/>
  <c r="F203" i="1"/>
  <c r="D203" i="1"/>
  <c r="E203" i="1" s="1"/>
  <c r="H202" i="1"/>
  <c r="F202" i="1" s="1"/>
  <c r="G202" i="1"/>
  <c r="I202" i="1" s="1"/>
  <c r="D202" i="1"/>
  <c r="E202" i="1" s="1"/>
  <c r="I201" i="1"/>
  <c r="H201" i="1"/>
  <c r="F201" i="1" s="1"/>
  <c r="G201" i="1"/>
  <c r="D201" i="1"/>
  <c r="H200" i="1"/>
  <c r="G200" i="1"/>
  <c r="I200" i="1" s="1"/>
  <c r="D200" i="1"/>
  <c r="F200" i="1" s="1"/>
  <c r="H199" i="1"/>
  <c r="G199" i="1"/>
  <c r="I199" i="1" s="1"/>
  <c r="F199" i="1"/>
  <c r="E199" i="1"/>
  <c r="D199" i="1"/>
  <c r="H198" i="1"/>
  <c r="F198" i="1" s="1"/>
  <c r="G198" i="1"/>
  <c r="I198" i="1" s="1"/>
  <c r="D198" i="1"/>
  <c r="E198" i="1" s="1"/>
  <c r="I197" i="1"/>
  <c r="H197" i="1"/>
  <c r="E197" i="1" s="1"/>
  <c r="G197" i="1"/>
  <c r="F197" i="1"/>
  <c r="D197" i="1"/>
  <c r="H196" i="1"/>
  <c r="G196" i="1"/>
  <c r="I196" i="1" s="1"/>
  <c r="D196" i="1"/>
  <c r="F196" i="1" s="1"/>
  <c r="I195" i="1"/>
  <c r="H195" i="1"/>
  <c r="G195" i="1"/>
  <c r="E195" i="1"/>
  <c r="D195" i="1"/>
  <c r="F195" i="1" s="1"/>
  <c r="H194" i="1"/>
  <c r="G194" i="1"/>
  <c r="I194" i="1" s="1"/>
  <c r="D194" i="1"/>
  <c r="F194" i="1" s="1"/>
  <c r="I193" i="1"/>
  <c r="H193" i="1"/>
  <c r="G193" i="1"/>
  <c r="F193" i="1"/>
  <c r="D193" i="1"/>
  <c r="E193" i="1" s="1"/>
  <c r="H192" i="1"/>
  <c r="F192" i="1" s="1"/>
  <c r="G192" i="1"/>
  <c r="I192" i="1" s="1"/>
  <c r="D192" i="1"/>
  <c r="E192" i="1" s="1"/>
  <c r="I191" i="1"/>
  <c r="H191" i="1"/>
  <c r="F191" i="1" s="1"/>
  <c r="G191" i="1"/>
  <c r="D191" i="1"/>
  <c r="H190" i="1"/>
  <c r="G190" i="1"/>
  <c r="I190" i="1" s="1"/>
  <c r="D190" i="1"/>
  <c r="F190" i="1" s="1"/>
  <c r="H189" i="1"/>
  <c r="G189" i="1"/>
  <c r="I189" i="1" s="1"/>
  <c r="F189" i="1"/>
  <c r="E189" i="1"/>
  <c r="D189" i="1"/>
  <c r="H188" i="1"/>
  <c r="F188" i="1" s="1"/>
  <c r="G188" i="1"/>
  <c r="I188" i="1" s="1"/>
  <c r="D188" i="1"/>
  <c r="E188" i="1" s="1"/>
  <c r="I187" i="1"/>
  <c r="H187" i="1"/>
  <c r="G187" i="1"/>
  <c r="F187" i="1"/>
  <c r="E187" i="1"/>
  <c r="D187" i="1"/>
  <c r="H186" i="1"/>
  <c r="G186" i="1"/>
  <c r="I186" i="1" s="1"/>
  <c r="D186" i="1"/>
  <c r="F186" i="1" s="1"/>
  <c r="I185" i="1"/>
  <c r="H185" i="1"/>
  <c r="G185" i="1"/>
  <c r="E185" i="1"/>
  <c r="D185" i="1"/>
  <c r="F185" i="1" s="1"/>
  <c r="H184" i="1"/>
  <c r="G184" i="1"/>
  <c r="I184" i="1" s="1"/>
  <c r="D184" i="1"/>
  <c r="F184" i="1" s="1"/>
  <c r="I183" i="1"/>
  <c r="H183" i="1"/>
  <c r="G183" i="1"/>
  <c r="F183" i="1"/>
  <c r="D183" i="1"/>
  <c r="E183" i="1" s="1"/>
  <c r="H182" i="1"/>
  <c r="F182" i="1" s="1"/>
  <c r="G182" i="1"/>
  <c r="I182" i="1" s="1"/>
  <c r="D182" i="1"/>
  <c r="E182" i="1" s="1"/>
  <c r="I181" i="1"/>
  <c r="H181" i="1"/>
  <c r="F181" i="1" s="1"/>
  <c r="G181" i="1"/>
  <c r="D181" i="1"/>
  <c r="H180" i="1"/>
  <c r="G180" i="1"/>
  <c r="I180" i="1" s="1"/>
  <c r="D180" i="1"/>
  <c r="F180" i="1" s="1"/>
  <c r="H179" i="1"/>
  <c r="G179" i="1"/>
  <c r="I179" i="1" s="1"/>
  <c r="F179" i="1"/>
  <c r="E179" i="1"/>
  <c r="D179" i="1"/>
  <c r="H178" i="1"/>
  <c r="G178" i="1"/>
  <c r="I178" i="1" s="1"/>
  <c r="F178" i="1"/>
  <c r="D178" i="1"/>
  <c r="E178" i="1" s="1"/>
  <c r="I177" i="1"/>
  <c r="H177" i="1"/>
  <c r="G177" i="1"/>
  <c r="F177" i="1"/>
  <c r="E177" i="1"/>
  <c r="D177" i="1"/>
  <c r="H176" i="1"/>
  <c r="G176" i="1"/>
  <c r="I176" i="1" s="1"/>
  <c r="D176" i="1"/>
  <c r="F176" i="1" s="1"/>
  <c r="I175" i="1"/>
  <c r="H175" i="1"/>
  <c r="G175" i="1"/>
  <c r="E175" i="1"/>
  <c r="D175" i="1"/>
  <c r="F175" i="1" s="1"/>
  <c r="H174" i="1"/>
  <c r="G174" i="1"/>
  <c r="I174" i="1" s="1"/>
  <c r="D174" i="1"/>
  <c r="F174" i="1" s="1"/>
  <c r="I173" i="1"/>
  <c r="H173" i="1"/>
  <c r="G173" i="1"/>
  <c r="F173" i="1"/>
  <c r="D173" i="1"/>
  <c r="E173" i="1" s="1"/>
  <c r="H172" i="1"/>
  <c r="F172" i="1" s="1"/>
  <c r="G172" i="1"/>
  <c r="I172" i="1" s="1"/>
  <c r="D172" i="1"/>
  <c r="E172" i="1" s="1"/>
  <c r="I171" i="1"/>
  <c r="H171" i="1"/>
  <c r="F171" i="1" s="1"/>
  <c r="G171" i="1"/>
  <c r="D171" i="1"/>
  <c r="H170" i="1"/>
  <c r="G170" i="1"/>
  <c r="I170" i="1" s="1"/>
  <c r="D170" i="1"/>
  <c r="F170" i="1" s="1"/>
  <c r="H169" i="1"/>
  <c r="G169" i="1"/>
  <c r="I169" i="1" s="1"/>
  <c r="F169" i="1"/>
  <c r="E169" i="1"/>
  <c r="D169" i="1"/>
  <c r="H168" i="1"/>
  <c r="G168" i="1"/>
  <c r="I168" i="1" s="1"/>
  <c r="F168" i="1"/>
  <c r="D168" i="1"/>
  <c r="E168" i="1" s="1"/>
  <c r="I167" i="1"/>
  <c r="H167" i="1"/>
  <c r="G167" i="1"/>
  <c r="F167" i="1"/>
  <c r="E167" i="1"/>
  <c r="D167" i="1"/>
  <c r="H166" i="1"/>
  <c r="G166" i="1"/>
  <c r="I166" i="1" s="1"/>
  <c r="D166" i="1"/>
  <c r="F166" i="1" s="1"/>
  <c r="I165" i="1"/>
  <c r="H165" i="1"/>
  <c r="G165" i="1"/>
  <c r="E165" i="1"/>
  <c r="D165" i="1"/>
  <c r="F165" i="1" s="1"/>
  <c r="G164" i="1"/>
  <c r="I164" i="1" s="1"/>
  <c r="F164" i="1"/>
  <c r="E164" i="1"/>
  <c r="D164" i="1"/>
  <c r="G163" i="1"/>
  <c r="D163" i="1"/>
  <c r="I163" i="1" s="1"/>
  <c r="H162" i="1"/>
  <c r="G162" i="1"/>
  <c r="I162" i="1" s="1"/>
  <c r="F162" i="1"/>
  <c r="E162" i="1"/>
  <c r="D162" i="1"/>
  <c r="H161" i="1"/>
  <c r="G161" i="1"/>
  <c r="I161" i="1" s="1"/>
  <c r="F161" i="1"/>
  <c r="D161" i="1"/>
  <c r="E161" i="1" s="1"/>
  <c r="I160" i="1"/>
  <c r="H160" i="1"/>
  <c r="G160" i="1"/>
  <c r="F160" i="1"/>
  <c r="E160" i="1"/>
  <c r="D160" i="1"/>
  <c r="H159" i="1"/>
  <c r="G159" i="1"/>
  <c r="I159" i="1" s="1"/>
  <c r="D159" i="1"/>
  <c r="F159" i="1" s="1"/>
  <c r="I158" i="1"/>
  <c r="H158" i="1"/>
  <c r="G158" i="1"/>
  <c r="E158" i="1"/>
  <c r="D158" i="1"/>
  <c r="F158" i="1" s="1"/>
  <c r="H157" i="1"/>
  <c r="G157" i="1"/>
  <c r="I157" i="1" s="1"/>
  <c r="D157" i="1"/>
  <c r="F157" i="1" s="1"/>
  <c r="I156" i="1"/>
  <c r="H156" i="1"/>
  <c r="G156" i="1"/>
  <c r="F156" i="1"/>
  <c r="D156" i="1"/>
  <c r="E156" i="1" s="1"/>
  <c r="H155" i="1"/>
  <c r="F155" i="1" s="1"/>
  <c r="G155" i="1"/>
  <c r="I155" i="1" s="1"/>
  <c r="D155" i="1"/>
  <c r="E155" i="1" s="1"/>
  <c r="I154" i="1"/>
  <c r="H154" i="1"/>
  <c r="F154" i="1" s="1"/>
  <c r="G154" i="1"/>
  <c r="D154" i="1"/>
  <c r="H153" i="1"/>
  <c r="G153" i="1"/>
  <c r="I153" i="1" s="1"/>
  <c r="D153" i="1"/>
  <c r="F153" i="1" s="1"/>
  <c r="H150" i="1"/>
  <c r="G150" i="1"/>
  <c r="I150" i="1" s="1"/>
  <c r="E150" i="1"/>
  <c r="D150" i="1"/>
  <c r="H149" i="1"/>
  <c r="G149" i="1"/>
  <c r="I149" i="1" s="1"/>
  <c r="D149" i="1"/>
  <c r="E149" i="1" s="1"/>
  <c r="F149" i="1" s="1"/>
  <c r="I148" i="1"/>
  <c r="H148" i="1"/>
  <c r="G148" i="1"/>
  <c r="F148" i="1"/>
  <c r="E148" i="1"/>
  <c r="D148" i="1"/>
  <c r="H147" i="1"/>
  <c r="G147" i="1"/>
  <c r="I147" i="1" s="1"/>
  <c r="D147" i="1"/>
  <c r="E147" i="1" s="1"/>
  <c r="F147" i="1" s="1"/>
  <c r="I146" i="1"/>
  <c r="H146" i="1"/>
  <c r="G146" i="1"/>
  <c r="E146" i="1"/>
  <c r="F146" i="1" s="1"/>
  <c r="D146" i="1"/>
  <c r="H145" i="1"/>
  <c r="G145" i="1"/>
  <c r="I145" i="1" s="1"/>
  <c r="D145" i="1"/>
  <c r="E145" i="1" s="1"/>
  <c r="F145" i="1" s="1"/>
  <c r="I144" i="1"/>
  <c r="H144" i="1"/>
  <c r="G144" i="1"/>
  <c r="D144" i="1"/>
  <c r="E144" i="1" s="1"/>
  <c r="F144" i="1" s="1"/>
  <c r="F136" i="1"/>
  <c r="E136" i="1"/>
  <c r="I136" i="1" s="1"/>
  <c r="I135" i="1"/>
  <c r="F135" i="1"/>
  <c r="E135" i="1"/>
  <c r="I134" i="1"/>
  <c r="F134" i="1"/>
  <c r="E134" i="1"/>
  <c r="F133" i="1"/>
  <c r="I133" i="1" s="1"/>
  <c r="E133" i="1"/>
  <c r="F132" i="1"/>
  <c r="E132" i="1"/>
  <c r="I132" i="1" s="1"/>
  <c r="F131" i="1"/>
  <c r="E131" i="1"/>
  <c r="I131" i="1" s="1"/>
  <c r="F130" i="1"/>
  <c r="E130" i="1"/>
  <c r="I130" i="1" s="1"/>
  <c r="F129" i="1"/>
  <c r="E129" i="1"/>
  <c r="I129" i="1" s="1"/>
  <c r="F128" i="1"/>
  <c r="E128" i="1"/>
  <c r="I128" i="1" s="1"/>
  <c r="I125" i="1"/>
  <c r="F125" i="1"/>
  <c r="E125" i="1"/>
  <c r="I124" i="1"/>
  <c r="F124" i="1"/>
  <c r="E124" i="1"/>
  <c r="I123" i="1"/>
  <c r="F123" i="1"/>
  <c r="E123" i="1"/>
  <c r="F122" i="1"/>
  <c r="E122" i="1"/>
  <c r="I122" i="1" s="1"/>
  <c r="F121" i="1"/>
  <c r="E121" i="1"/>
  <c r="I121" i="1" s="1"/>
  <c r="F120" i="1"/>
  <c r="I120" i="1" s="1"/>
  <c r="E120" i="1"/>
  <c r="F119" i="1"/>
  <c r="E119" i="1"/>
  <c r="I119" i="1" s="1"/>
  <c r="F118" i="1"/>
  <c r="E118" i="1"/>
  <c r="I118" i="1" s="1"/>
  <c r="F117" i="1"/>
  <c r="E117" i="1"/>
  <c r="I117" i="1" s="1"/>
  <c r="I114" i="1"/>
  <c r="H114" i="1"/>
  <c r="E114" i="1" s="1"/>
  <c r="G114" i="1"/>
  <c r="F114" i="1"/>
  <c r="H113" i="1"/>
  <c r="G113" i="1"/>
  <c r="I113" i="1" s="1"/>
  <c r="F113" i="1"/>
  <c r="E113" i="1"/>
  <c r="H112" i="1"/>
  <c r="E112" i="1" s="1"/>
  <c r="G112" i="1"/>
  <c r="H111" i="1"/>
  <c r="E111" i="1" s="1"/>
  <c r="G111" i="1"/>
  <c r="H110" i="1"/>
  <c r="E110" i="1" s="1"/>
  <c r="G110" i="1"/>
  <c r="H109" i="1"/>
  <c r="F109" i="1" s="1"/>
  <c r="G109" i="1"/>
  <c r="I109" i="1" s="1"/>
  <c r="H108" i="1"/>
  <c r="E108" i="1" s="1"/>
  <c r="G108" i="1"/>
  <c r="I108" i="1" s="1"/>
  <c r="H107" i="1"/>
  <c r="E107" i="1" s="1"/>
  <c r="G107" i="1"/>
  <c r="H106" i="1"/>
  <c r="E106" i="1" s="1"/>
  <c r="G106" i="1"/>
  <c r="H105" i="1"/>
  <c r="F105" i="1" s="1"/>
  <c r="G105" i="1"/>
  <c r="H104" i="1"/>
  <c r="E104" i="1" s="1"/>
  <c r="G104" i="1"/>
  <c r="H103" i="1"/>
  <c r="G103" i="1"/>
  <c r="H102" i="1"/>
  <c r="E102" i="1" s="1"/>
  <c r="G102" i="1"/>
  <c r="H101" i="1"/>
  <c r="F101" i="1" s="1"/>
  <c r="G101" i="1"/>
  <c r="H100" i="1"/>
  <c r="E100" i="1" s="1"/>
  <c r="G100" i="1"/>
  <c r="H99" i="1"/>
  <c r="E99" i="1" s="1"/>
  <c r="G99" i="1"/>
  <c r="H98" i="1"/>
  <c r="E98" i="1" s="1"/>
  <c r="G98" i="1"/>
  <c r="H97" i="1"/>
  <c r="F97" i="1" s="1"/>
  <c r="G97" i="1"/>
  <c r="H96" i="1"/>
  <c r="E96" i="1" s="1"/>
  <c r="G96" i="1"/>
  <c r="H92" i="1"/>
  <c r="G92" i="1"/>
  <c r="E92" i="1"/>
  <c r="D92" i="1"/>
  <c r="I92" i="1" s="1"/>
  <c r="H91" i="1"/>
  <c r="G91" i="1"/>
  <c r="I91" i="1" s="1"/>
  <c r="D91" i="1"/>
  <c r="F91" i="1" s="1"/>
  <c r="H90" i="1"/>
  <c r="G90" i="1"/>
  <c r="I90" i="1" s="1"/>
  <c r="D90" i="1"/>
  <c r="F90" i="1" s="1"/>
  <c r="I89" i="1"/>
  <c r="H89" i="1"/>
  <c r="E89" i="1" s="1"/>
  <c r="G89" i="1"/>
  <c r="F89" i="1"/>
  <c r="D89" i="1"/>
  <c r="I88" i="1"/>
  <c r="H88" i="1"/>
  <c r="F88" i="1" s="1"/>
  <c r="G88" i="1"/>
  <c r="E88" i="1"/>
  <c r="D88" i="1"/>
  <c r="H87" i="1"/>
  <c r="G87" i="1"/>
  <c r="I87" i="1" s="1"/>
  <c r="F87" i="1"/>
  <c r="E87" i="1"/>
  <c r="D87" i="1"/>
  <c r="H86" i="1"/>
  <c r="G86" i="1"/>
  <c r="I86" i="1" s="1"/>
  <c r="D86" i="1"/>
  <c r="F86" i="1" s="1"/>
  <c r="H85" i="1"/>
  <c r="G85" i="1"/>
  <c r="I85" i="1" s="1"/>
  <c r="F85" i="1"/>
  <c r="D85" i="1"/>
  <c r="E85" i="1" s="1"/>
  <c r="H84" i="1"/>
  <c r="G84" i="1"/>
  <c r="D84" i="1"/>
  <c r="F84" i="1" s="1"/>
  <c r="I83" i="1"/>
  <c r="H83" i="1"/>
  <c r="G83" i="1"/>
  <c r="F83" i="1"/>
  <c r="E83" i="1"/>
  <c r="D83" i="1"/>
  <c r="H82" i="1"/>
  <c r="G82" i="1"/>
  <c r="E82" i="1"/>
  <c r="D82" i="1"/>
  <c r="I82" i="1" s="1"/>
  <c r="H81" i="1"/>
  <c r="G81" i="1"/>
  <c r="I81" i="1" s="1"/>
  <c r="D81" i="1"/>
  <c r="F81" i="1" s="1"/>
  <c r="H80" i="1"/>
  <c r="G80" i="1"/>
  <c r="I80" i="1" s="1"/>
  <c r="D80" i="1"/>
  <c r="F80" i="1" s="1"/>
  <c r="I79" i="1"/>
  <c r="H79" i="1"/>
  <c r="E79" i="1" s="1"/>
  <c r="G79" i="1"/>
  <c r="F79" i="1"/>
  <c r="D79" i="1"/>
  <c r="I78" i="1"/>
  <c r="H78" i="1"/>
  <c r="F78" i="1" s="1"/>
  <c r="G78" i="1"/>
  <c r="E78" i="1"/>
  <c r="D78" i="1"/>
  <c r="H77" i="1"/>
  <c r="G77" i="1"/>
  <c r="I77" i="1" s="1"/>
  <c r="F77" i="1"/>
  <c r="E77" i="1"/>
  <c r="D77" i="1"/>
  <c r="H76" i="1"/>
  <c r="G76" i="1"/>
  <c r="I76" i="1" s="1"/>
  <c r="D76" i="1"/>
  <c r="F76" i="1" s="1"/>
  <c r="H75" i="1"/>
  <c r="G75" i="1"/>
  <c r="I75" i="1" s="1"/>
  <c r="F75" i="1"/>
  <c r="D75" i="1"/>
  <c r="E75" i="1" s="1"/>
  <c r="H74" i="1"/>
  <c r="G74" i="1"/>
  <c r="D74" i="1"/>
  <c r="F74" i="1" s="1"/>
  <c r="I73" i="1"/>
  <c r="H73" i="1"/>
  <c r="G73" i="1"/>
  <c r="F73" i="1"/>
  <c r="E73" i="1"/>
  <c r="D73" i="1"/>
  <c r="H72" i="1"/>
  <c r="G72" i="1"/>
  <c r="E72" i="1"/>
  <c r="D72" i="1"/>
  <c r="I72" i="1" s="1"/>
  <c r="H71" i="1"/>
  <c r="G71" i="1"/>
  <c r="I71" i="1" s="1"/>
  <c r="D71" i="1"/>
  <c r="F71" i="1" s="1"/>
  <c r="H70" i="1"/>
  <c r="G70" i="1"/>
  <c r="I70" i="1" s="1"/>
  <c r="D70" i="1"/>
  <c r="F70" i="1" s="1"/>
  <c r="I69" i="1"/>
  <c r="H69" i="1"/>
  <c r="E69" i="1" s="1"/>
  <c r="G69" i="1"/>
  <c r="F69" i="1"/>
  <c r="D69" i="1"/>
  <c r="H68" i="1"/>
  <c r="I68" i="1" s="1"/>
  <c r="G68" i="1"/>
  <c r="E68" i="1"/>
  <c r="D68" i="1"/>
  <c r="H67" i="1"/>
  <c r="G67" i="1"/>
  <c r="I67" i="1" s="1"/>
  <c r="F67" i="1"/>
  <c r="E67" i="1"/>
  <c r="D67" i="1"/>
  <c r="H66" i="1"/>
  <c r="G66" i="1"/>
  <c r="I66" i="1" s="1"/>
  <c r="D66" i="1"/>
  <c r="F66" i="1" s="1"/>
  <c r="H65" i="1"/>
  <c r="G65" i="1"/>
  <c r="I65" i="1" s="1"/>
  <c r="F65" i="1"/>
  <c r="D65" i="1"/>
  <c r="E65" i="1" s="1"/>
  <c r="H64" i="1"/>
  <c r="G64" i="1"/>
  <c r="D64" i="1"/>
  <c r="E64" i="1" s="1"/>
  <c r="I63" i="1"/>
  <c r="H63" i="1"/>
  <c r="G63" i="1"/>
  <c r="F63" i="1"/>
  <c r="E63" i="1"/>
  <c r="D63" i="1"/>
  <c r="H62" i="1"/>
  <c r="G62" i="1"/>
  <c r="D62" i="1"/>
  <c r="I62" i="1" s="1"/>
  <c r="H61" i="1"/>
  <c r="G61" i="1"/>
  <c r="I61" i="1" s="1"/>
  <c r="D61" i="1"/>
  <c r="F61" i="1" s="1"/>
  <c r="H60" i="1"/>
  <c r="G60" i="1"/>
  <c r="I60" i="1" s="1"/>
  <c r="D60" i="1"/>
  <c r="F60" i="1" s="1"/>
  <c r="I59" i="1"/>
  <c r="H59" i="1"/>
  <c r="E59" i="1" s="1"/>
  <c r="G59" i="1"/>
  <c r="F59" i="1"/>
  <c r="D59" i="1"/>
  <c r="H58" i="1"/>
  <c r="I58" i="1" s="1"/>
  <c r="G58" i="1"/>
  <c r="E58" i="1"/>
  <c r="D58" i="1"/>
  <c r="H57" i="1"/>
  <c r="G57" i="1"/>
  <c r="I57" i="1" s="1"/>
  <c r="F57" i="1"/>
  <c r="E57" i="1"/>
  <c r="D57" i="1"/>
  <c r="H56" i="1"/>
  <c r="G56" i="1"/>
  <c r="I56" i="1" s="1"/>
  <c r="D56" i="1"/>
  <c r="F56" i="1" s="1"/>
  <c r="H55" i="1"/>
  <c r="G55" i="1"/>
  <c r="I55" i="1" s="1"/>
  <c r="F55" i="1"/>
  <c r="D55" i="1"/>
  <c r="E55" i="1" s="1"/>
  <c r="H54" i="1"/>
  <c r="G54" i="1"/>
  <c r="D54" i="1"/>
  <c r="F54" i="1" s="1"/>
  <c r="I53" i="1"/>
  <c r="H53" i="1"/>
  <c r="G53" i="1"/>
  <c r="F53" i="1"/>
  <c r="E53" i="1"/>
  <c r="D53" i="1"/>
  <c r="I51" i="1"/>
  <c r="I50" i="1"/>
  <c r="I49" i="1"/>
  <c r="I48" i="1"/>
  <c r="I47" i="1"/>
  <c r="I103" i="1" l="1"/>
  <c r="I100" i="1"/>
  <c r="I102" i="1"/>
  <c r="I96" i="1"/>
  <c r="I106" i="1"/>
  <c r="I98" i="1"/>
  <c r="F108" i="1"/>
  <c r="F100" i="1"/>
  <c r="I101" i="1"/>
  <c r="I110" i="1"/>
  <c r="F102" i="1"/>
  <c r="F96" i="1"/>
  <c r="E97" i="1"/>
  <c r="E105" i="1"/>
  <c r="I97" i="1"/>
  <c r="I105" i="1"/>
  <c r="E103" i="1"/>
  <c r="E109" i="1"/>
  <c r="F98" i="1"/>
  <c r="F104" i="1"/>
  <c r="I104" i="1"/>
  <c r="F110" i="1"/>
  <c r="I107" i="1"/>
  <c r="F106" i="1"/>
  <c r="I111" i="1"/>
  <c r="F112" i="1"/>
  <c r="I99" i="1"/>
  <c r="E101" i="1"/>
  <c r="I112" i="1"/>
  <c r="F150" i="1"/>
  <c r="F58" i="1"/>
  <c r="F68" i="1"/>
  <c r="E153" i="1"/>
  <c r="E163" i="1"/>
  <c r="E170" i="1"/>
  <c r="E180" i="1"/>
  <c r="E190" i="1"/>
  <c r="E200" i="1"/>
  <c r="E210" i="1"/>
  <c r="E220" i="1"/>
  <c r="E230" i="1"/>
  <c r="E240" i="1"/>
  <c r="E250" i="1"/>
  <c r="E260" i="1"/>
  <c r="E279" i="1"/>
  <c r="E292" i="1"/>
  <c r="E304" i="1"/>
  <c r="E318" i="1"/>
  <c r="E328" i="1"/>
  <c r="E84" i="1"/>
  <c r="I74" i="1"/>
  <c r="F163" i="1"/>
  <c r="E74" i="1"/>
  <c r="I54" i="1"/>
  <c r="E301" i="1"/>
  <c r="E315" i="1"/>
  <c r="E325" i="1"/>
  <c r="E62" i="1"/>
  <c r="F62" i="1"/>
  <c r="F72" i="1"/>
  <c r="F82" i="1"/>
  <c r="F92" i="1"/>
  <c r="F99" i="1"/>
  <c r="F103" i="1"/>
  <c r="F107" i="1"/>
  <c r="F111" i="1"/>
  <c r="E157" i="1"/>
  <c r="E174" i="1"/>
  <c r="E184" i="1"/>
  <c r="E194" i="1"/>
  <c r="E204" i="1"/>
  <c r="E214" i="1"/>
  <c r="E224" i="1"/>
  <c r="E234" i="1"/>
  <c r="E244" i="1"/>
  <c r="E254" i="1"/>
  <c r="E272" i="1"/>
  <c r="E284" i="1"/>
  <c r="E297" i="1"/>
  <c r="E309" i="1"/>
  <c r="I84" i="1"/>
  <c r="E154" i="1"/>
  <c r="E171" i="1"/>
  <c r="E181" i="1"/>
  <c r="E191" i="1"/>
  <c r="E201" i="1"/>
  <c r="E211" i="1"/>
  <c r="E221" i="1"/>
  <c r="E231" i="1"/>
  <c r="E241" i="1"/>
  <c r="E251" i="1"/>
  <c r="E261" i="1"/>
  <c r="E281" i="1"/>
  <c r="E293" i="1"/>
  <c r="E306" i="1"/>
  <c r="E319" i="1"/>
  <c r="E329" i="1"/>
  <c r="I64" i="1"/>
  <c r="E56" i="1"/>
  <c r="E86" i="1"/>
  <c r="E66" i="1"/>
  <c r="E76" i="1"/>
  <c r="E248" i="1"/>
  <c r="E258" i="1"/>
  <c r="E277" i="1"/>
  <c r="E289" i="1"/>
  <c r="E302" i="1"/>
  <c r="E316" i="1"/>
  <c r="E326" i="1"/>
  <c r="E273" i="1"/>
  <c r="E286" i="1"/>
  <c r="E298" i="1"/>
  <c r="E313" i="1"/>
  <c r="E323" i="1"/>
  <c r="E80" i="1"/>
  <c r="E90" i="1"/>
  <c r="E60" i="1"/>
  <c r="E70" i="1"/>
  <c r="E282" i="1"/>
  <c r="E294" i="1"/>
  <c r="E307" i="1"/>
  <c r="E320" i="1"/>
  <c r="E330" i="1"/>
  <c r="E54" i="1"/>
  <c r="F64" i="1"/>
  <c r="E159" i="1"/>
  <c r="E166" i="1"/>
  <c r="E176" i="1"/>
  <c r="E186" i="1"/>
  <c r="E196" i="1"/>
  <c r="E206" i="1"/>
  <c r="E216" i="1"/>
  <c r="E226" i="1"/>
  <c r="E236" i="1"/>
  <c r="E246" i="1"/>
  <c r="E256" i="1"/>
  <c r="E274" i="1"/>
  <c r="E287" i="1"/>
  <c r="E299" i="1"/>
  <c r="E314" i="1"/>
  <c r="E324" i="1"/>
  <c r="E61" i="1"/>
  <c r="E71" i="1"/>
  <c r="E81" i="1"/>
  <c r="E91" i="1"/>
</calcChain>
</file>

<file path=xl/sharedStrings.xml><?xml version="1.0" encoding="utf-8"?>
<sst xmlns="http://schemas.openxmlformats.org/spreadsheetml/2006/main" count="782" uniqueCount="484">
  <si>
    <t>PERFORMANCE TEST</t>
  </si>
  <si>
    <t>DUT</t>
  </si>
  <si>
    <t>Manufacturer</t>
  </si>
  <si>
    <t>Hewlett-Packard</t>
  </si>
  <si>
    <t>S/N</t>
  </si>
  <si>
    <t>Model Number</t>
  </si>
  <si>
    <t xml:space="preserve">HP3458A
</t>
  </si>
  <si>
    <t>Ambient Temp.</t>
  </si>
  <si>
    <t>26.5</t>
  </si>
  <si>
    <t>Meter Info</t>
  </si>
  <si>
    <t>HP3458A STD</t>
  </si>
  <si>
    <t>Test date</t>
  </si>
  <si>
    <t>19-03-30 16:14:51</t>
  </si>
  <si>
    <t>Options</t>
  </si>
  <si>
    <t xml:space="preserve">0,0
</t>
  </si>
  <si>
    <t>Test Type</t>
  </si>
  <si>
    <t>verify</t>
  </si>
  <si>
    <t>Firmware</t>
  </si>
  <si>
    <t xml:space="preserve">9,2
</t>
  </si>
  <si>
    <t>Notes</t>
  </si>
  <si>
    <t>Test Front Ports</t>
  </si>
  <si>
    <t>Last ext. calibration date</t>
  </si>
  <si>
    <t>03/23/2019</t>
  </si>
  <si>
    <t>3458A NPLC?</t>
  </si>
  <si>
    <t>100</t>
  </si>
  <si>
    <t>DUT CAL number?</t>
  </si>
  <si>
    <t xml:space="preserve">183
</t>
  </si>
  <si>
    <t>DUT Internal TEMP?</t>
  </si>
  <si>
    <t>CAL? 58 Temp of CAL 0</t>
  </si>
  <si>
    <t xml:space="preserve"> 34.7126710E+00
</t>
  </si>
  <si>
    <t>CAL?1,1</t>
  </si>
  <si>
    <t xml:space="preserve"> 39.9992704E+03
</t>
  </si>
  <si>
    <t>CAL?59 Temp of CAL 10</t>
  </si>
  <si>
    <t xml:space="preserve"> 33.6766328E+00
</t>
  </si>
  <si>
    <t>CAL?72</t>
  </si>
  <si>
    <t xml:space="preserve"> 982.329424E-03
</t>
  </si>
  <si>
    <t>CAL? 60 Temp of CAL 10K</t>
  </si>
  <si>
    <t xml:space="preserve"> 36.4117225E+00
</t>
  </si>
  <si>
    <t>CAL?2,1</t>
  </si>
  <si>
    <t xml:space="preserve"> 7.07033766E+00
</t>
  </si>
  <si>
    <t>DESTRUCTIVE OVERLOADS Before</t>
  </si>
  <si>
    <t xml:space="preserve">304, DESTRUCTIVE OVERLOADS valid 2941 
</t>
  </si>
  <si>
    <t>DESTRUCTIVE OVERLOADS       After</t>
  </si>
  <si>
    <t>Calibrator</t>
  </si>
  <si>
    <t>Reference standard</t>
  </si>
  <si>
    <t>Unc</t>
  </si>
  <si>
    <t>Calibration Date</t>
  </si>
  <si>
    <t>Due Date</t>
  </si>
  <si>
    <t>--</t>
  </si>
  <si>
    <t>MFC</t>
  </si>
  <si>
    <t>MFC Calibrate Date</t>
  </si>
  <si>
    <t xml:space="preserve">021019
</t>
  </si>
  <si>
    <t>MFC last calibrated</t>
  </si>
  <si>
    <t>48
 days</t>
  </si>
  <si>
    <t>Calibrate Date WBFLAT</t>
  </si>
  <si>
    <t xml:space="preserve">020919
</t>
  </si>
  <si>
    <t>MFC since WBFLAT</t>
  </si>
  <si>
    <t>49
 days</t>
  </si>
  <si>
    <t>Calibrate Date WB Gain</t>
  </si>
  <si>
    <t>MFC since WBGAIN</t>
  </si>
  <si>
    <t>MFC Calibrate Date Zero</t>
  </si>
  <si>
    <t xml:space="preserve">033019
</t>
  </si>
  <si>
    <t>MFC since DCV Zero</t>
  </si>
  <si>
    <t>0
 days</t>
  </si>
  <si>
    <t>MFC Confidence level</t>
  </si>
  <si>
    <t>5720A 99% 24 Hours</t>
  </si>
  <si>
    <t>CAL CONST 11V Range +zero</t>
  </si>
  <si>
    <t>CAL CONST 6.5V</t>
  </si>
  <si>
    <t xml:space="preserve">+6.957480629534423E+00
</t>
  </si>
  <si>
    <t>CAL CONST 11V                               Range  -zero</t>
  </si>
  <si>
    <t>CAL CONST 13V reference voltage</t>
  </si>
  <si>
    <t xml:space="preserve">+1.385529947933807E+01
</t>
  </si>
  <si>
    <t>CAL CONST, Zero calibration temperature</t>
  </si>
  <si>
    <t>CAL CONST 10KOHM               true output resistance</t>
  </si>
  <si>
    <t xml:space="preserve">+9.999785888249386E+03
</t>
  </si>
  <si>
    <t>CAL CONST, ALL  calibration temp</t>
  </si>
  <si>
    <t>CAL SONST 10kOHM      standard resistance</t>
  </si>
  <si>
    <t xml:space="preserve">+9.998741377818425E+03
</t>
  </si>
  <si>
    <t>CAL_CONST? CHECK, WB_FLAT_TEMP</t>
  </si>
  <si>
    <t>CAL CONST 1 OHM</t>
  </si>
  <si>
    <t xml:space="preserve">+9.998156865545850E-01
</t>
  </si>
  <si>
    <t>CAL CONST,WBAND_TEMP</t>
  </si>
  <si>
    <t>ETIME?</t>
  </si>
  <si>
    <t>227 days 18.20 hours</t>
  </si>
  <si>
    <t>CAL TEMP? CHECK</t>
  </si>
  <si>
    <t>ONTIME?</t>
  </si>
  <si>
    <t>3 days 14.08 hours</t>
  </si>
  <si>
    <t>CAL CONST,DACLIN</t>
  </si>
  <si>
    <t>DCV PERFORMANCE TEST</t>
  </si>
  <si>
    <t>DCV Test     VDC</t>
  </si>
  <si>
    <t>Expected Value</t>
  </si>
  <si>
    <t>Measured            μV</t>
  </si>
  <si>
    <t>Source Unc.            μV</t>
  </si>
  <si>
    <t>Lower Limit           μV</t>
  </si>
  <si>
    <t>Upper Limit         μV</t>
  </si>
  <si>
    <t>Deviation</t>
  </si>
  <si>
    <t>DUT 24h Spec uV</t>
  </si>
  <si>
    <t>Test Result          % of SPEC</t>
  </si>
  <si>
    <t>MEAS SDEV μV</t>
  </si>
  <si>
    <t xml:space="preserve">0 .0mVDC </t>
  </si>
  <si>
    <t>N/A</t>
  </si>
  <si>
    <t xml:space="preserve">   +4.0000E-07,V,1
</t>
  </si>
  <si>
    <t>0.0VDC</t>
  </si>
  <si>
    <t>00.0VDC</t>
  </si>
  <si>
    <t>000.0VDC</t>
  </si>
  <si>
    <t>0000.0VDC</t>
  </si>
  <si>
    <t>DCV Test    VDC</t>
  </si>
  <si>
    <t>DMM Range</t>
  </si>
  <si>
    <t>Measured           V</t>
  </si>
  <si>
    <t>Source Unc.        ppm</t>
  </si>
  <si>
    <t>Lower Limit           V</t>
  </si>
  <si>
    <t>Upper Limit         V</t>
  </si>
  <si>
    <t>Measured   ppm</t>
  </si>
  <si>
    <t>DUT 24h Spec ppm</t>
  </si>
  <si>
    <t>100mV</t>
  </si>
  <si>
    <t xml:space="preserve">   +4.4000E-07,V,1
</t>
  </si>
  <si>
    <t xml:space="preserve">   +4.8000E-07,V,1
</t>
  </si>
  <si>
    <t xml:space="preserve">   +1.2000E+01,PPM,1
</t>
  </si>
  <si>
    <t xml:space="preserve">   +8.0000E+00,PPM,1
</t>
  </si>
  <si>
    <t>1V</t>
  </si>
  <si>
    <t xml:space="preserve">   +6.0000E+00,PPM,1
</t>
  </si>
  <si>
    <t xml:space="preserve">   +4.4000E+00,PPM,1
</t>
  </si>
  <si>
    <t xml:space="preserve">   +3.7000E+00,PPM,1
</t>
  </si>
  <si>
    <t>10V</t>
  </si>
  <si>
    <t xml:space="preserve">   +3.3500E+00,PPM,1
</t>
  </si>
  <si>
    <t xml:space="preserve">   +2.5000E+00,PPM,1
</t>
  </si>
  <si>
    <t xml:space="preserve">   +2.2500E+00,PPM,1
</t>
  </si>
  <si>
    <t>100V</t>
  </si>
  <si>
    <t xml:space="preserve">   +2.2000E+00,PPM,1
</t>
  </si>
  <si>
    <t xml:space="preserve">   +3.8000E+00,PPM,1
</t>
  </si>
  <si>
    <t xml:space="preserve">   +3.4000E+00,PPM,1
</t>
  </si>
  <si>
    <t>1000V</t>
  </si>
  <si>
    <t xml:space="preserve">   +3.2000E+00,PPM,1
</t>
  </si>
  <si>
    <t xml:space="preserve">   +4.8000E+00,PPM,1
</t>
  </si>
  <si>
    <t>OHM PERFORMANCE TEST</t>
  </si>
  <si>
    <t>OHM Test      4W</t>
  </si>
  <si>
    <t>Calibrator    ohm</t>
  </si>
  <si>
    <t>Measured                ohm</t>
  </si>
  <si>
    <t>Source Unc.    ppm</t>
  </si>
  <si>
    <t>Lower Limit      ohm</t>
  </si>
  <si>
    <t>Upper Limit     ohm</t>
  </si>
  <si>
    <t>Measured    ppm</t>
  </si>
  <si>
    <t>24h Spec  ppm</t>
  </si>
  <si>
    <t>MEAS SDEV ppm</t>
  </si>
  <si>
    <t>1 Ω</t>
  </si>
  <si>
    <t xml:space="preserve">   +7.0000E+01,PPM,1
</t>
  </si>
  <si>
    <t>1.9 Ω</t>
  </si>
  <si>
    <t>10 Ω</t>
  </si>
  <si>
    <t xml:space="preserve">   +2.0000E+01,PPM,1
</t>
  </si>
  <si>
    <t>19 Ω</t>
  </si>
  <si>
    <t>100 Ω</t>
  </si>
  <si>
    <t>190 Ω</t>
  </si>
  <si>
    <t>1 kΩ</t>
  </si>
  <si>
    <t xml:space="preserve">   +6.5000E+00,PPM,1
</t>
  </si>
  <si>
    <t>1.9 kΩ</t>
  </si>
  <si>
    <t>10 kΩ</t>
  </si>
  <si>
    <t>19 kΩ</t>
  </si>
  <si>
    <t xml:space="preserve">   +7.5000E+00,PPM,1
</t>
  </si>
  <si>
    <t>100 kΩ</t>
  </si>
  <si>
    <t>190 kΩ</t>
  </si>
  <si>
    <t>1 MΩ</t>
  </si>
  <si>
    <t xml:space="preserve">   +1.3000E+01,PPM,1
</t>
  </si>
  <si>
    <t>1.9 MΩ</t>
  </si>
  <si>
    <t xml:space="preserve">   +1.4000E+01,PPM,1
</t>
  </si>
  <si>
    <t>10MΩ</t>
  </si>
  <si>
    <t xml:space="preserve">   +2.7000E+01,PPM,1
</t>
  </si>
  <si>
    <t>19 MΩ</t>
  </si>
  <si>
    <t xml:space="preserve">   +3.5000E+01,PPM,1
</t>
  </si>
  <si>
    <t>100 MΩ(2W)</t>
  </si>
  <si>
    <t xml:space="preserve">   +8.5000E+01,PPM,1
</t>
  </si>
  <si>
    <t>19 MΩ(2W)</t>
  </si>
  <si>
    <t>10MΩ(2W)</t>
  </si>
  <si>
    <t>OHM Zero    4W</t>
  </si>
  <si>
    <t>DUT  Range</t>
  </si>
  <si>
    <t>Measured        ohm</t>
  </si>
  <si>
    <t>Source Unc.     ohm</t>
  </si>
  <si>
    <t>Lower Limit   ohm</t>
  </si>
  <si>
    <t>Upper Limit   ohm</t>
  </si>
  <si>
    <t>Measured</t>
  </si>
  <si>
    <t>24h Spec  ohm</t>
  </si>
  <si>
    <t>MEAS SDEV ohm</t>
  </si>
  <si>
    <t>0 Ω</t>
  </si>
  <si>
    <t xml:space="preserve">   +4.0000E-05,OHM,1
</t>
  </si>
  <si>
    <t>1 KΩ</t>
  </si>
  <si>
    <t>10 KΩ</t>
  </si>
  <si>
    <t>100 KΩ</t>
  </si>
  <si>
    <t>10 MΩ</t>
  </si>
  <si>
    <t>100 MΩ</t>
  </si>
  <si>
    <t>1 GΩ</t>
  </si>
  <si>
    <t>OHM Zero     2W</t>
  </si>
  <si>
    <t xml:space="preserve">   +5.0000E-05,OHM,365
</t>
  </si>
  <si>
    <t xml:space="preserve">Note: 1ohm-10k: OCOMP ON, DELAY 0.2s, waiting 10s. Range above 10k OCOMP OFF DELAY default, waiting 100s. </t>
  </si>
  <si>
    <t>ohm zero: OCOMP OFF DELAY default, waiting 10s</t>
  </si>
  <si>
    <t>ACV PERFORMANCE TEST</t>
  </si>
  <si>
    <t>ACV ANA       Tset</t>
  </si>
  <si>
    <t>Measured          Vac</t>
  </si>
  <si>
    <t>Source Unc.      ppm</t>
  </si>
  <si>
    <t>Lower Limit     Vac</t>
  </si>
  <si>
    <t xml:space="preserve">Upper Limit      Vac </t>
  </si>
  <si>
    <t>Measured         %</t>
  </si>
  <si>
    <t>24h Spec     %</t>
  </si>
  <si>
    <t>MEAS SDEV  ppm</t>
  </si>
  <si>
    <t>1VAC/50kHz</t>
  </si>
  <si>
    <t>1 VAC</t>
  </si>
  <si>
    <t xml:space="preserve">   +7.5000E+01,PPM,1
</t>
  </si>
  <si>
    <t>1VAC/1MHz</t>
  </si>
  <si>
    <t xml:space="preserve">   +1.6000E-01,PCT,1
</t>
  </si>
  <si>
    <t>10VAC/40Hz</t>
  </si>
  <si>
    <t>10 VAC</t>
  </si>
  <si>
    <t xml:space="preserve">   +4.2000E+01,PPM,1
</t>
  </si>
  <si>
    <t>10VAC/200Hz</t>
  </si>
  <si>
    <t>10VAC/500Hz</t>
  </si>
  <si>
    <t>10VAC/50kHz</t>
  </si>
  <si>
    <t>10VAC/1MHz</t>
  </si>
  <si>
    <t xml:space="preserve">   +1.5200E-01,PCT,1
</t>
  </si>
  <si>
    <t>ACV SYNC    Tset</t>
  </si>
  <si>
    <t>Measured        Vac</t>
  </si>
  <si>
    <t>Lower Limit      Vac</t>
  </si>
  <si>
    <t>Upper Limit      Vac</t>
  </si>
  <si>
    <t>Measured        %</t>
  </si>
  <si>
    <t>0.01VAC+DC/10 Hz</t>
  </si>
  <si>
    <t xml:space="preserve">   +6.0000E+02,PPM,1
</t>
  </si>
  <si>
    <t>0.01VAC+DC/20 Hz</t>
  </si>
  <si>
    <t xml:space="preserve">   +4.8000E+02,PPM,1
</t>
  </si>
  <si>
    <t>0.01VAC+DC/40 Hz</t>
  </si>
  <si>
    <t xml:space="preserve">   +4.7000E+02,PPM,1
</t>
  </si>
  <si>
    <t>0.01VAC+DC/100 Hz</t>
  </si>
  <si>
    <t>0.01VAC+DC/1.0 kHz</t>
  </si>
  <si>
    <t>0.01VAC+DC/10 kHz</t>
  </si>
  <si>
    <t>0.01VAC+DC/20 kHz</t>
  </si>
  <si>
    <t>0.01VAC+DC/50 kHz</t>
  </si>
  <si>
    <t xml:space="preserve">   +5.7000E+02,PPM,1
</t>
  </si>
  <si>
    <t>0.01VAC+DC/100 kHz</t>
  </si>
  <si>
    <t xml:space="preserve">   +9.0000E+02,PPM,1
</t>
  </si>
  <si>
    <t>0.01VAC+DC/300 kHz</t>
  </si>
  <si>
    <t xml:space="preserve">   +1.3000E-01,PCT,1
</t>
  </si>
  <si>
    <t>0.01VAC+DC/500 kHz</t>
  </si>
  <si>
    <t xml:space="preserve">   +3.1000E-01,PCT,1
</t>
  </si>
  <si>
    <t>0.01VAC+DC/1 MHz</t>
  </si>
  <si>
    <t xml:space="preserve">   +4.4000E-01,PCT,1
</t>
  </si>
  <si>
    <t>0.03VAC+DC/10 Hz</t>
  </si>
  <si>
    <t>0.03VAC+DC/20 Hz</t>
  </si>
  <si>
    <t xml:space="preserve">   +3.1333E+02,PPM,1
</t>
  </si>
  <si>
    <t>0.03VAC+DC/40 Hz</t>
  </si>
  <si>
    <t xml:space="preserve">   +3.0333E+02,PPM,1
</t>
  </si>
  <si>
    <t>0.03VAC+DC/100 Hz</t>
  </si>
  <si>
    <t>0.03VAC+DC/1.0 kHz</t>
  </si>
  <si>
    <t>0.03VAC+DC/10 kHz</t>
  </si>
  <si>
    <t>0.03VAC+DC/20 kHz</t>
  </si>
  <si>
    <t>0.03VAC+DC/50 kHz</t>
  </si>
  <si>
    <t xml:space="preserve">   +4.0333E+02,PPM,1
</t>
  </si>
  <si>
    <t>0.03VAC+DC/100 kHz</t>
  </si>
  <si>
    <t xml:space="preserve">   +9.6667E+02,PPM,1
</t>
  </si>
  <si>
    <t>0.03VAC+DC/300 kHz</t>
  </si>
  <si>
    <t xml:space="preserve">   +1.3667E-01,PCT,1
</t>
  </si>
  <si>
    <t>0.03VAC+DC/500 kHz</t>
  </si>
  <si>
    <t xml:space="preserve">   +1.9333E-01,PCT,1
</t>
  </si>
  <si>
    <t>0.03VAC+DC/1 MHz</t>
  </si>
  <si>
    <t xml:space="preserve">   +3.9000E-01,PCT,1
</t>
  </si>
  <si>
    <t>0.10VAC+DC/10 Hz</t>
  </si>
  <si>
    <t xml:space="preserve">   +3.2000E+02,PPM,1
</t>
  </si>
  <si>
    <t>0.10VAC+DC/20 Hz</t>
  </si>
  <si>
    <t xml:space="preserve">   +1.5000E+02,PPM,1
</t>
  </si>
  <si>
    <t>0.10VAC+DC/40 Hz</t>
  </si>
  <si>
    <t xml:space="preserve">   +1.4000E+02,PPM,1
</t>
  </si>
  <si>
    <t>0.10VAC+DC/100 Hz</t>
  </si>
  <si>
    <t>0.10VAC+DC/1.0 kHz</t>
  </si>
  <si>
    <t>0.10VAC+DC/10 kHz</t>
  </si>
  <si>
    <t>0.10VAC+DC/20 kHz</t>
  </si>
  <si>
    <t>0.10VAC+DC/50 kHz</t>
  </si>
  <si>
    <t xml:space="preserve">   +2.4000E+02,PPM,1
</t>
  </si>
  <si>
    <t>0.10VAC+DC/100 kHz</t>
  </si>
  <si>
    <t>0.10VAC+DC/300 kHz</t>
  </si>
  <si>
    <t>0.10VAC+DC/500 kHz</t>
  </si>
  <si>
    <t xml:space="preserve">   +1.3500E-01,PCT,1
</t>
  </si>
  <si>
    <t>0.10VAC+DC/1 MHz</t>
  </si>
  <si>
    <t xml:space="preserve">   +2.8500E-01,PCT,1
</t>
  </si>
  <si>
    <t>0.30VAC+DC/10 Hz</t>
  </si>
  <si>
    <t xml:space="preserve">   +3.3333E+02,PPM,1
</t>
  </si>
  <si>
    <t>0.30VAC+DC/20 Hz</t>
  </si>
  <si>
    <t xml:space="preserve">   +1.2500E+02,PPM,1
</t>
  </si>
  <si>
    <t>0.30VAC+DC/40 Hz</t>
  </si>
  <si>
    <t xml:space="preserve">   +6.3667E+01,PPM,1
</t>
  </si>
  <si>
    <t>0.30VAC+DC/100 Hz</t>
  </si>
  <si>
    <t>0.30VAC+DC/1.0 kHz</t>
  </si>
  <si>
    <t>0.30VAC+DC/10 kHz</t>
  </si>
  <si>
    <t>0.30VAC+DC/20 kHz</t>
  </si>
  <si>
    <t>0.30VAC+DC/50 kHz</t>
  </si>
  <si>
    <t xml:space="preserve">   +9.8333E+01,PPM,1
</t>
  </si>
  <si>
    <t>0.30VAC+DC/100 kHz</t>
  </si>
  <si>
    <t xml:space="preserve">   +2.0000E+02,PPM,1
</t>
  </si>
  <si>
    <t>0.30VAC+DC/300 kHz</t>
  </si>
  <si>
    <t xml:space="preserve">   +5.6667E+02,PPM,1
</t>
  </si>
  <si>
    <t>0.30VAC+DC/500 kHz</t>
  </si>
  <si>
    <t xml:space="preserve">   +1.4667E-01,PCT,1
</t>
  </si>
  <si>
    <t>0.30VAC+DC/1 MHz</t>
  </si>
  <si>
    <t xml:space="preserve">   +2.3000E-01,PCT,1
</t>
  </si>
  <si>
    <t>1.00VAC+DC/10 Hz</t>
  </si>
  <si>
    <t>1.00VAC+DC/20 Hz</t>
  </si>
  <si>
    <t xml:space="preserve">   +9.0000E+01,PPM,1
</t>
  </si>
  <si>
    <t>1.00VAC+DC/40 Hz</t>
  </si>
  <si>
    <t xml:space="preserve">   +4.5000E+01,PPM,1
</t>
  </si>
  <si>
    <t>1.00VAC+DC/100 Hz</t>
  </si>
  <si>
    <t>1.00VAC+DC/1.0 kHz</t>
  </si>
  <si>
    <t>1.00VAC+DC/10 kHz</t>
  </si>
  <si>
    <t>1.00VAC+DC/20 kHz</t>
  </si>
  <si>
    <t>1.00VAC+DC/50 kHz</t>
  </si>
  <si>
    <t>1.00VAC+DC/100 kHz</t>
  </si>
  <si>
    <t xml:space="preserve">   +1.3000E+02,PPM,1
</t>
  </si>
  <si>
    <t>1.00VAC+DC/300 kHz</t>
  </si>
  <si>
    <t xml:space="preserve">   +3.8000E+02,PPM,1
</t>
  </si>
  <si>
    <t>1.00VAC+DC/500 kHz</t>
  </si>
  <si>
    <t xml:space="preserve">   +1.0000E+03,PPM,1
</t>
  </si>
  <si>
    <t>1.00VAC+DC/1 MHz</t>
  </si>
  <si>
    <t>3.00VAC+DC/10 Hz</t>
  </si>
  <si>
    <t>3.00VAC+DC/20 Hz</t>
  </si>
  <si>
    <t>3.00VAC+DC/40 Hz</t>
  </si>
  <si>
    <t xml:space="preserve">   +5.3667E+01,PPM,1
</t>
  </si>
  <si>
    <t>3.00VAC+DC/100 Hz</t>
  </si>
  <si>
    <t>3.00VAC+DC/1.0 kHz</t>
  </si>
  <si>
    <t>3.00VAC+DC/10 kHz</t>
  </si>
  <si>
    <t>3.00VAC+DC/20 kHz</t>
  </si>
  <si>
    <t>3.00VAC+DC/50 kHz</t>
  </si>
  <si>
    <t>3.00VAC+DC/100 kHz</t>
  </si>
  <si>
    <t xml:space="preserve">   +1.5667E+02,PPM,1
</t>
  </si>
  <si>
    <t>3.00VAC+DC/300 kHz</t>
  </si>
  <si>
    <t xml:space="preserve">   +4.5000E+02,PPM,1
</t>
  </si>
  <si>
    <t>3.00VAC+DC/500 kHz</t>
  </si>
  <si>
    <t>3.00VAC+DC/1 MHz</t>
  </si>
  <si>
    <t xml:space="preserve">   +2.2667E-01,PCT,1
</t>
  </si>
  <si>
    <t>10.0VAC+DC/10 Hz</t>
  </si>
  <si>
    <t>10.0VAC+DC/20 Hz</t>
  </si>
  <si>
    <t>10.0VAC+DC/40 Hz</t>
  </si>
  <si>
    <t>10.0VAC+DC/100 Hz</t>
  </si>
  <si>
    <t>10.0VAC+DC/1.0 kHz</t>
  </si>
  <si>
    <t>10.0VAC+DC/10 kHz</t>
  </si>
  <si>
    <t>10.0VAC+DC/20 kHz</t>
  </si>
  <si>
    <t>10.0VAC+DC/50 kHz</t>
  </si>
  <si>
    <t>10.0VAC+DC/100 kHz</t>
  </si>
  <si>
    <t xml:space="preserve">   +1.1000E+02,PPM,1
</t>
  </si>
  <si>
    <t>10.0VAC+DC/300 kHz</t>
  </si>
  <si>
    <t xml:space="preserve">   +3.1000E+02,PPM,1
</t>
  </si>
  <si>
    <t>10.0VAC+DC/500 kHz</t>
  </si>
  <si>
    <t>10.0VAC+DC/1 MHz</t>
  </si>
  <si>
    <t>30.0VAC+DC/10 Hz</t>
  </si>
  <si>
    <t>30.0VAC+DC/20 Hz</t>
  </si>
  <si>
    <t>30.0VAC+DC/40 Hz</t>
  </si>
  <si>
    <t xml:space="preserve">   +6.5000E+01,PPM,1
</t>
  </si>
  <si>
    <t>30.0VAC+DC/100 Hz</t>
  </si>
  <si>
    <t>30.0VAC+DC/1.0 kHz</t>
  </si>
  <si>
    <t>30.0VAC+DC/10 kHz</t>
  </si>
  <si>
    <t>30.0VAC+DC/20 kHz</t>
  </si>
  <si>
    <t>30.0VAC+DC/50 kHz</t>
  </si>
  <si>
    <t xml:space="preserve">   +1.0333E+02,PPM,1
</t>
  </si>
  <si>
    <t>30.0VAC+DC/100 kHz</t>
  </si>
  <si>
    <t xml:space="preserve">   +2.0333E+02,PPM,1
</t>
  </si>
  <si>
    <t>30.0VAC+DC/300 kHz</t>
  </si>
  <si>
    <t xml:space="preserve">   +1.2333E-01,PCT,1
</t>
  </si>
  <si>
    <t>30.0VAC+DC/500 kHz</t>
  </si>
  <si>
    <t xml:space="preserve">   +5.3333E-01,PCT,1
</t>
  </si>
  <si>
    <t>100.0VAC+DC/10 Hz</t>
  </si>
  <si>
    <t>100.0VAC+DC/20 Hz</t>
  </si>
  <si>
    <t>100.0VAC+DC/40 Hz</t>
  </si>
  <si>
    <t xml:space="preserve">   +5.1000E+01,PPM,1
</t>
  </si>
  <si>
    <t>100.0VAC+DC/100 Hz</t>
  </si>
  <si>
    <t>100.0VAC+DC/1.0 kHz</t>
  </si>
  <si>
    <t>100.0VAC+DC/10 kHz</t>
  </si>
  <si>
    <t>100.0VAC+DC/20 kHz</t>
  </si>
  <si>
    <t>100.0VAC+DC/50 kHz</t>
  </si>
  <si>
    <t xml:space="preserve">   +8.0000E+01,PPM,1
</t>
  </si>
  <si>
    <t>100.0VAC+DC/100 kHz</t>
  </si>
  <si>
    <t xml:space="preserve">   +1.4500E+02,PPM,1
</t>
  </si>
  <si>
    <t>300.0VAC+DC/100 Hz</t>
  </si>
  <si>
    <t xml:space="preserve">   +8.8333E+01,PPM,1
</t>
  </si>
  <si>
    <t>300.0VAC+DC/200 Hz</t>
  </si>
  <si>
    <t>300.0VAC+DC/400 Hz</t>
  </si>
  <si>
    <t>300.0VAC+DC/500 Hz</t>
  </si>
  <si>
    <t>300.0VAC+DC/1 kHz</t>
  </si>
  <si>
    <t>750.0VAC+DC/1 kHz</t>
  </si>
  <si>
    <t xml:space="preserve">   +8.0333E+01,PPM,1
</t>
  </si>
  <si>
    <t>DCI PERFORMANCE TEST</t>
  </si>
  <si>
    <t>DCI Test</t>
  </si>
  <si>
    <t>Measured           A</t>
  </si>
  <si>
    <t>Lower Limit          A</t>
  </si>
  <si>
    <t>Upper Limit         A</t>
  </si>
  <si>
    <t>Measured     ppm</t>
  </si>
  <si>
    <t>24h Spec ppm</t>
  </si>
  <si>
    <t>0 µADC</t>
  </si>
  <si>
    <t xml:space="preserve">   +6.0000E-09,A,1
</t>
  </si>
  <si>
    <t>50 nADC</t>
  </si>
  <si>
    <t xml:space="preserve">   +6.0016E-09,A,1
</t>
  </si>
  <si>
    <t>100 nADC</t>
  </si>
  <si>
    <t xml:space="preserve">   +6.0032E-09,A,1
</t>
  </si>
  <si>
    <t>-100 nADC</t>
  </si>
  <si>
    <t>-50 nADC</t>
  </si>
  <si>
    <t>0.5 µADC</t>
  </si>
  <si>
    <t xml:space="preserve">   +6.0160E-09,A,1
</t>
  </si>
  <si>
    <t>1 µADC</t>
  </si>
  <si>
    <t xml:space="preserve">   +6.0320E-09,A,1
</t>
  </si>
  <si>
    <t>-1 µADC</t>
  </si>
  <si>
    <t>-0.5 µADC</t>
  </si>
  <si>
    <t>5 µADC</t>
  </si>
  <si>
    <t xml:space="preserve">   +6.1600E-09,A,1
</t>
  </si>
  <si>
    <t>10 µADC</t>
  </si>
  <si>
    <t xml:space="preserve">   +6.3200E-09,A,1
</t>
  </si>
  <si>
    <t>-10 µADC</t>
  </si>
  <si>
    <t>-5 µADC</t>
  </si>
  <si>
    <t>50 µADC</t>
  </si>
  <si>
    <t xml:space="preserve">   +1.5200E+02,PPM,1
</t>
  </si>
  <si>
    <t>100 µADC</t>
  </si>
  <si>
    <t xml:space="preserve">   +9.2000E+01,PPM,1
</t>
  </si>
  <si>
    <t>-100 µADC</t>
  </si>
  <si>
    <t>-50 µADC</t>
  </si>
  <si>
    <t>0.5 mADC</t>
  </si>
  <si>
    <t xml:space="preserve">   +3.9000E+01,PPM,1
</t>
  </si>
  <si>
    <t>1 mADC</t>
  </si>
  <si>
    <t xml:space="preserve">   +3.2000E+01,PPM,1
</t>
  </si>
  <si>
    <t>-1 mADC</t>
  </si>
  <si>
    <t>-0.5 mADC</t>
  </si>
  <si>
    <t>0 mADC</t>
  </si>
  <si>
    <t>5 mADC</t>
  </si>
  <si>
    <t xml:space="preserve">   +3.3000E+01,PPM,1
</t>
  </si>
  <si>
    <t>10 mADC</t>
  </si>
  <si>
    <t xml:space="preserve">   +2.9000E+01,PPM,1
</t>
  </si>
  <si>
    <t>-10 mADC</t>
  </si>
  <si>
    <t>-5 mADC</t>
  </si>
  <si>
    <t>50 mADC</t>
  </si>
  <si>
    <t xml:space="preserve">   +4.9000E+01,PPM,1
</t>
  </si>
  <si>
    <t>100 mADC</t>
  </si>
  <si>
    <t>-100 mADC</t>
  </si>
  <si>
    <t>-50 mADC</t>
  </si>
  <si>
    <t>0 ADC</t>
  </si>
  <si>
    <t>0.5 ADC</t>
  </si>
  <si>
    <t xml:space="preserve">   +7.4000E+01,PPM,1
</t>
  </si>
  <si>
    <t>1.0 ADC</t>
  </si>
  <si>
    <t xml:space="preserve">   +6.2000E+01,PPM,1
</t>
  </si>
  <si>
    <t>-1.0 ADC</t>
  </si>
  <si>
    <t>-0.5 ADC</t>
  </si>
  <si>
    <t>ACI PERFORMANCE TEST</t>
  </si>
  <si>
    <t>ACI Test</t>
  </si>
  <si>
    <t>Measured           Aac</t>
  </si>
  <si>
    <t>Lower Limit      Aac</t>
  </si>
  <si>
    <t>Upper Limit      Aac</t>
  </si>
  <si>
    <t>10.0 µA/50Hz</t>
  </si>
  <si>
    <t xml:space="preserve">   +9.0000E-09,A,1
</t>
  </si>
  <si>
    <t>10.0 µA/60Hz</t>
  </si>
  <si>
    <t>10.0 µA/1kHz</t>
  </si>
  <si>
    <t>100 µA/50Hz</t>
  </si>
  <si>
    <t xml:space="preserve">   +1.8000E+02,PPM,1
</t>
  </si>
  <si>
    <t>100 µA/60Hz</t>
  </si>
  <si>
    <t>100 µA/1kHz</t>
  </si>
  <si>
    <t>1.00 mA/50Hz</t>
  </si>
  <si>
    <t xml:space="preserve">   +1.3500E+02,PPM,1
</t>
  </si>
  <si>
    <t>1.00 mA/60Hz</t>
  </si>
  <si>
    <t>1.00 mA/1kHz</t>
  </si>
  <si>
    <t>10.0 mA/50Hz</t>
  </si>
  <si>
    <t>10.0 mA/60Hz</t>
  </si>
  <si>
    <t>10.0 mA/1kHz</t>
  </si>
  <si>
    <t>100 mA/50Hz</t>
  </si>
  <si>
    <t>100 mA/60Hz</t>
  </si>
  <si>
    <t>100 mA/1kHz</t>
  </si>
  <si>
    <t>1.00 A/50Hz</t>
  </si>
  <si>
    <t xml:space="preserve">   +2.6500E+02,PPM,1
</t>
  </si>
  <si>
    <t>1.00 A/60Hz</t>
  </si>
  <si>
    <t>1.00 A/1kHz</t>
  </si>
  <si>
    <t xml:space="preserve">Test    Summary   </t>
  </si>
  <si>
    <t>Initialization</t>
  </si>
  <si>
    <t>DCV</t>
  </si>
  <si>
    <t>OHM</t>
  </si>
  <si>
    <t>ACV</t>
  </si>
  <si>
    <t>DCI</t>
  </si>
  <si>
    <t>ACI</t>
  </si>
  <si>
    <t>Total</t>
  </si>
  <si>
    <t>Time escape minute</t>
  </si>
  <si>
    <t>delta Temp degree</t>
  </si>
  <si>
    <t>Fluke 792X</t>
  </si>
  <si>
    <t>9.9999800 VDC</t>
  </si>
  <si>
    <t>Fluke SL935</t>
  </si>
  <si>
    <t>1.00006002 Ohm</t>
  </si>
  <si>
    <t>9999.9760 Ohm</t>
  </si>
  <si>
    <t>0.17 ppm</t>
  </si>
  <si>
    <t>2.2 ppm</t>
  </si>
  <si>
    <t>0.33 ppm</t>
  </si>
  <si>
    <t>Ref2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</si>
</sst>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.00_ "/>
    <numFmt numFmtId="165" formatCode="0.000000_ "/>
    <numFmt numFmtId="166" formatCode="0.000_ "/>
    <numFmt numFmtId="167" formatCode="0.000000E+00"/>
    <numFmt numFmtId="168" formatCode="0.0000000_ "/>
    <numFmt numFmtId="169" formatCode="0.00000_ "/>
    <numFmt numFmtId="170" formatCode="0.0000_ "/>
    <numFmt numFmtId="171" formatCode="0.0_ "/>
    <numFmt numFmtId="172" formatCode="0.00000000_ "/>
    <numFmt numFmtId="173" formatCode="0.00000E+00"/>
  </numFmts>
  <fonts count="7">
    <font>
      <sz val="11"/>
      <color theme="1"/>
      <name val="Calibri"/>
      <family val="2"/>
      <scheme val="minor"/>
    </font>
    <font>
      <sz val="10"/>
      <color theme="1"/>
      <name val="Calibri"/>
      <family val="3"/>
      <charset val="134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87640003662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/>
    <xf numFmtId="49" fontId="5" fillId="0" borderId="3" xfId="0" applyNumberFormat="1" applyFont="1" applyBorder="1" applyAlignment="1">
      <alignment horizontal="center"/>
    </xf>
    <xf numFmtId="0" fontId="5" fillId="3" borderId="4" xfId="0" applyFont="1" applyFill="1" applyBorder="1"/>
    <xf numFmtId="0" fontId="5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5" fillId="0" borderId="4" xfId="0" applyFont="1" applyBorder="1"/>
    <xf numFmtId="11" fontId="5" fillId="0" borderId="4" xfId="0" applyNumberFormat="1" applyFont="1" applyBorder="1" applyAlignment="1">
      <alignment horizontal="center"/>
    </xf>
    <xf numFmtId="11" fontId="5" fillId="3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/>
    </xf>
    <xf numFmtId="0" fontId="5" fillId="5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2" borderId="4" xfId="0" applyFont="1" applyFill="1" applyBorder="1" applyAlignment="1">
      <alignment horizontal="center"/>
    </xf>
    <xf numFmtId="0" fontId="0" fillId="0" borderId="4" xfId="0" applyBorder="1"/>
    <xf numFmtId="0" fontId="5" fillId="6" borderId="3" xfId="0" applyFont="1" applyFill="1" applyBorder="1" applyAlignment="1">
      <alignment horizontal="center" wrapText="1"/>
    </xf>
    <xf numFmtId="0" fontId="1" fillId="0" borderId="0" xfId="0" applyFont="1"/>
    <xf numFmtId="0" fontId="1" fillId="4" borderId="0" xfId="0" applyFont="1" applyFill="1"/>
    <xf numFmtId="0" fontId="1" fillId="7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0" borderId="0" xfId="0" applyFont="1"/>
    <xf numFmtId="0" fontId="1" fillId="7" borderId="0" xfId="0" applyFont="1" applyFill="1"/>
    <xf numFmtId="0" fontId="1" fillId="8" borderId="0" xfId="0" applyFont="1" applyFill="1"/>
    <xf numFmtId="0" fontId="0" fillId="0" borderId="0" xfId="0"/>
    <xf numFmtId="0" fontId="6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6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/>
    </xf>
    <xf numFmtId="0" fontId="5" fillId="3" borderId="4" xfId="0" applyFont="1" applyFill="1" applyBorder="1" applyAlignment="1">
      <alignment horizontal="center"/>
    </xf>
    <xf numFmtId="164" fontId="5" fillId="4" borderId="0" xfId="0" applyNumberFormat="1" applyFont="1" applyFill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165" fontId="5" fillId="3" borderId="4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167" fontId="5" fillId="3" borderId="4" xfId="0" applyNumberFormat="1" applyFont="1" applyFill="1" applyBorder="1" applyAlignment="1">
      <alignment horizontal="center"/>
    </xf>
    <xf numFmtId="168" fontId="5" fillId="0" borderId="4" xfId="0" applyNumberFormat="1" applyFont="1" applyBorder="1" applyAlignment="1">
      <alignment horizontal="center"/>
    </xf>
    <xf numFmtId="168" fontId="5" fillId="3" borderId="4" xfId="0" applyNumberFormat="1" applyFont="1" applyFill="1" applyBorder="1" applyAlignment="1">
      <alignment horizontal="center"/>
    </xf>
    <xf numFmtId="169" fontId="5" fillId="0" borderId="4" xfId="0" applyNumberFormat="1" applyFont="1" applyBorder="1" applyAlignment="1">
      <alignment horizontal="center"/>
    </xf>
    <xf numFmtId="169" fontId="5" fillId="3" borderId="4" xfId="0" applyNumberFormat="1" applyFont="1" applyFill="1" applyBorder="1" applyAlignment="1">
      <alignment horizontal="center"/>
    </xf>
    <xf numFmtId="170" fontId="5" fillId="3" borderId="4" xfId="0" applyNumberFormat="1" applyFont="1" applyFill="1" applyBorder="1" applyAlignment="1">
      <alignment horizontal="center"/>
    </xf>
    <xf numFmtId="170" fontId="5" fillId="0" borderId="4" xfId="0" applyNumberFormat="1" applyFont="1" applyBorder="1" applyAlignment="1">
      <alignment horizontal="center"/>
    </xf>
    <xf numFmtId="171" fontId="5" fillId="3" borderId="4" xfId="0" applyNumberFormat="1" applyFont="1" applyFill="1" applyBorder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172" fontId="5" fillId="0" borderId="4" xfId="0" applyNumberFormat="1" applyFont="1" applyBorder="1" applyAlignment="1">
      <alignment horizontal="center"/>
    </xf>
    <xf numFmtId="172" fontId="5" fillId="3" borderId="4" xfId="0" applyNumberFormat="1" applyFont="1" applyFill="1" applyBorder="1" applyAlignment="1">
      <alignment horizontal="center"/>
    </xf>
    <xf numFmtId="167" fontId="5" fillId="0" borderId="4" xfId="0" applyNumberFormat="1" applyFont="1" applyBorder="1"/>
    <xf numFmtId="166" fontId="5" fillId="0" borderId="4" xfId="0" applyNumberFormat="1" applyFont="1" applyBorder="1"/>
    <xf numFmtId="173" fontId="5" fillId="3" borderId="4" xfId="0" applyNumberFormat="1" applyFont="1" applyFill="1" applyBorder="1" applyAlignment="1">
      <alignment horizontal="center"/>
    </xf>
    <xf numFmtId="167" fontId="5" fillId="3" borderId="4" xfId="0" applyNumberFormat="1" applyFont="1" applyFill="1" applyBorder="1"/>
    <xf numFmtId="173" fontId="5" fillId="0" borderId="4" xfId="0" applyNumberFormat="1" applyFont="1" applyBorder="1" applyAlignment="1">
      <alignment horizontal="center"/>
    </xf>
    <xf numFmtId="166" fontId="5" fillId="3" borderId="4" xfId="0" applyNumberFormat="1" applyFont="1" applyFill="1" applyBorder="1"/>
    <xf numFmtId="167" fontId="5" fillId="0" borderId="3" xfId="0" applyNumberFormat="1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left"/>
    </xf>
    <xf numFmtId="164" fontId="5" fillId="3" borderId="4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0" fillId="0" borderId="0" xfId="0"/>
    <xf numFmtId="0" fontId="5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7" borderId="0" xfId="0" applyFont="1" applyFill="1" applyAlignment="1">
      <alignment horizontal="center" wrapText="1"/>
    </xf>
    <xf numFmtId="0" fontId="3" fillId="8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5" fillId="0" borderId="4" xfId="0" applyFont="1" applyBorder="1" applyAlignment="1">
      <alignment horizontal="center"/>
    </xf>
    <xf numFmtId="0" fontId="0" fillId="0" borderId="4" xfId="0" applyBorder="1"/>
    <xf numFmtId="0" fontId="5" fillId="3" borderId="4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6" borderId="0" xfId="0" applyFont="1" applyFill="1" applyAlignment="1">
      <alignment horizontal="center" wrapText="1"/>
    </xf>
    <xf numFmtId="14" fontId="5" fillId="2" borderId="0" xfId="0" applyNumberFormat="1" applyFont="1" applyFill="1" applyAlignment="1">
      <alignment horizontal="center"/>
    </xf>
    <xf numFmtId="14" fontId="5" fillId="4" borderId="0" xfId="0" applyNumberFormat="1" applyFont="1" applyFill="1" applyAlignment="1">
      <alignment horizontal="center"/>
    </xf>
  </cellXfs>
  <cellStyles count="1">
    <cellStyle name="Обычный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4"/>
  <sheetViews>
    <sheetView tabSelected="1" topLeftCell="A268" workbookViewId="0">
      <selection activeCell="A285" sqref="A285"/>
    </sheetView>
  </sheetViews>
  <sheetFormatPr defaultRowHeight="15"/>
  <cols>
    <col min="1" max="1" width="13.7109375" style="34" customWidth="1"/>
    <col min="2" max="2" width="13.140625" style="34" customWidth="1"/>
    <col min="3" max="3" width="12.85546875" style="34" customWidth="1"/>
    <col min="4" max="4" width="13" style="34" bestFit="1" customWidth="1"/>
    <col min="5" max="6" width="12.5703125" style="34" customWidth="1"/>
    <col min="7" max="7" width="11.42578125" style="34" bestFit="1" customWidth="1"/>
    <col min="8" max="8" width="9.5703125" style="34" customWidth="1"/>
    <col min="9" max="9" width="12.5703125" customWidth="1"/>
  </cols>
  <sheetData>
    <row r="1" spans="1:10" ht="16.5" customHeight="1" thickBot="1">
      <c r="A1" s="2"/>
      <c r="B1" s="2"/>
      <c r="C1" s="2"/>
      <c r="D1" s="2"/>
      <c r="E1" s="6" t="s">
        <v>0</v>
      </c>
      <c r="F1" s="8"/>
      <c r="G1" s="2"/>
      <c r="H1" s="2"/>
      <c r="I1" s="2"/>
    </row>
    <row r="2" spans="1:10" ht="16.5" customHeight="1">
      <c r="A2" s="1"/>
      <c r="B2" s="1"/>
      <c r="C2" s="1"/>
      <c r="D2" s="1"/>
      <c r="E2" s="1"/>
      <c r="F2" s="1"/>
      <c r="G2" s="1"/>
      <c r="H2" s="1"/>
      <c r="I2" s="1"/>
    </row>
    <row r="3" spans="1:10" ht="16.5" customHeight="1" thickBot="1">
      <c r="A3" s="1"/>
      <c r="B3" s="1"/>
      <c r="C3" s="1"/>
      <c r="D3" s="1"/>
      <c r="E3" s="6" t="s">
        <v>1</v>
      </c>
      <c r="F3" s="1"/>
      <c r="G3" s="1"/>
      <c r="H3" s="1"/>
      <c r="I3" s="1"/>
      <c r="J3" s="1"/>
    </row>
    <row r="4" spans="1:10" ht="16.5" customHeight="1">
      <c r="A4" s="72"/>
      <c r="B4" s="70"/>
      <c r="C4" s="73"/>
      <c r="D4" s="70"/>
      <c r="E4" s="38"/>
      <c r="F4" s="73"/>
      <c r="G4" s="70"/>
      <c r="H4" s="73"/>
      <c r="I4" s="70"/>
    </row>
    <row r="5" spans="1:10" ht="14.25" customHeight="1">
      <c r="A5" s="69" t="s">
        <v>2</v>
      </c>
      <c r="B5" s="70"/>
      <c r="C5" s="88" t="s">
        <v>3</v>
      </c>
      <c r="D5" s="70"/>
      <c r="E5" s="40"/>
      <c r="F5" s="69" t="s">
        <v>4</v>
      </c>
      <c r="G5" s="70"/>
      <c r="H5" s="71" t="s">
        <v>483</v>
      </c>
      <c r="I5" s="70"/>
    </row>
    <row r="6" spans="1:10" ht="14.25" customHeight="1">
      <c r="A6" s="85" t="s">
        <v>5</v>
      </c>
      <c r="B6" s="70"/>
      <c r="C6" s="86" t="s">
        <v>6</v>
      </c>
      <c r="D6" s="70"/>
      <c r="E6" s="27"/>
      <c r="F6" s="85" t="s">
        <v>7</v>
      </c>
      <c r="G6" s="70"/>
      <c r="H6" s="86" t="s">
        <v>8</v>
      </c>
      <c r="I6" s="70"/>
    </row>
    <row r="7" spans="1:10" ht="14.25" customHeight="1">
      <c r="A7" s="69" t="s">
        <v>9</v>
      </c>
      <c r="B7" s="70"/>
      <c r="C7" s="71" t="s">
        <v>10</v>
      </c>
      <c r="D7" s="70"/>
      <c r="E7" s="28"/>
      <c r="F7" s="69" t="s">
        <v>11</v>
      </c>
      <c r="G7" s="70"/>
      <c r="H7" s="71" t="s">
        <v>12</v>
      </c>
      <c r="I7" s="70"/>
    </row>
    <row r="8" spans="1:10" ht="14.25" customHeight="1">
      <c r="A8" s="85" t="s">
        <v>13</v>
      </c>
      <c r="B8" s="70"/>
      <c r="C8" s="86" t="s">
        <v>14</v>
      </c>
      <c r="D8" s="70"/>
      <c r="E8" s="27"/>
      <c r="F8" s="85" t="s">
        <v>15</v>
      </c>
      <c r="G8" s="70"/>
      <c r="H8" s="75" t="s">
        <v>16</v>
      </c>
      <c r="I8" s="70"/>
    </row>
    <row r="9" spans="1:10" ht="14.25" customHeight="1">
      <c r="A9" s="69" t="s">
        <v>17</v>
      </c>
      <c r="B9" s="70"/>
      <c r="C9" s="71" t="s">
        <v>18</v>
      </c>
      <c r="D9" s="70"/>
      <c r="E9" s="28"/>
      <c r="F9" s="69" t="s">
        <v>19</v>
      </c>
      <c r="G9" s="70"/>
      <c r="H9" s="71" t="s">
        <v>20</v>
      </c>
      <c r="I9" s="70"/>
    </row>
    <row r="10" spans="1:10" ht="14.25" customHeight="1">
      <c r="A10" s="85" t="s">
        <v>21</v>
      </c>
      <c r="B10" s="70"/>
      <c r="C10" s="86" t="s">
        <v>22</v>
      </c>
      <c r="D10" s="70"/>
      <c r="E10" s="27"/>
      <c r="F10" s="85" t="s">
        <v>23</v>
      </c>
      <c r="G10" s="70"/>
      <c r="H10" s="86" t="s">
        <v>24</v>
      </c>
      <c r="I10" s="70"/>
    </row>
    <row r="11" spans="1:10" ht="14.25" customHeight="1">
      <c r="A11" s="69" t="s">
        <v>25</v>
      </c>
      <c r="B11" s="70"/>
      <c r="C11" s="71" t="s">
        <v>26</v>
      </c>
      <c r="D11" s="70"/>
      <c r="E11" s="28"/>
      <c r="F11" s="69" t="s">
        <v>27</v>
      </c>
      <c r="G11" s="70"/>
      <c r="H11" s="71">
        <v>36.1</v>
      </c>
      <c r="I11" s="70"/>
    </row>
    <row r="12" spans="1:10" ht="14.25" customHeight="1">
      <c r="A12" s="85" t="s">
        <v>28</v>
      </c>
      <c r="B12" s="70"/>
      <c r="C12" s="86" t="s">
        <v>29</v>
      </c>
      <c r="D12" s="70"/>
      <c r="E12" s="27"/>
      <c r="F12" s="85" t="s">
        <v>30</v>
      </c>
      <c r="G12" s="70"/>
      <c r="H12" s="86" t="s">
        <v>31</v>
      </c>
      <c r="I12" s="70"/>
    </row>
    <row r="13" spans="1:10" ht="14.25" customHeight="1">
      <c r="A13" s="69" t="s">
        <v>32</v>
      </c>
      <c r="B13" s="70"/>
      <c r="C13" s="71" t="s">
        <v>33</v>
      </c>
      <c r="D13" s="70"/>
      <c r="E13" s="28"/>
      <c r="F13" s="69" t="s">
        <v>34</v>
      </c>
      <c r="G13" s="70"/>
      <c r="H13" s="71" t="s">
        <v>35</v>
      </c>
      <c r="I13" s="70"/>
    </row>
    <row r="14" spans="1:10" ht="14.25" customHeight="1">
      <c r="A14" s="85" t="s">
        <v>36</v>
      </c>
      <c r="B14" s="70"/>
      <c r="C14" s="86" t="s">
        <v>37</v>
      </c>
      <c r="D14" s="70"/>
      <c r="E14" s="27"/>
      <c r="F14" s="85" t="s">
        <v>38</v>
      </c>
      <c r="G14" s="70"/>
      <c r="H14" s="75" t="s">
        <v>39</v>
      </c>
      <c r="I14" s="70"/>
    </row>
    <row r="15" spans="1:10" ht="25.5" customHeight="1">
      <c r="A15" s="76" t="s">
        <v>40</v>
      </c>
      <c r="B15" s="70"/>
      <c r="C15" s="87" t="s">
        <v>41</v>
      </c>
      <c r="D15" s="70"/>
      <c r="E15" s="28"/>
      <c r="F15" s="76" t="s">
        <v>42</v>
      </c>
      <c r="G15" s="70"/>
      <c r="H15" s="87" t="s">
        <v>41</v>
      </c>
      <c r="I15" s="70"/>
    </row>
    <row r="16" spans="1:10" ht="14.25" customHeight="1">
      <c r="A16" s="85"/>
      <c r="B16" s="70"/>
      <c r="C16" s="86"/>
      <c r="D16" s="70"/>
      <c r="E16" s="27"/>
      <c r="F16" s="85"/>
      <c r="G16" s="70"/>
      <c r="H16" s="86"/>
      <c r="I16" s="70"/>
    </row>
    <row r="17" spans="1:9" ht="14.25" customHeight="1"/>
    <row r="19" spans="1:9" ht="16.5" customHeight="1" thickBot="1">
      <c r="A19" s="31"/>
      <c r="B19" s="31"/>
      <c r="C19" s="31"/>
      <c r="D19" s="31"/>
      <c r="E19" s="6" t="s">
        <v>43</v>
      </c>
      <c r="F19" s="31"/>
      <c r="G19" s="31"/>
      <c r="H19" s="31"/>
      <c r="I19" s="31"/>
    </row>
    <row r="20" spans="1:9" ht="15" customHeight="1">
      <c r="A20" s="73" t="s">
        <v>44</v>
      </c>
      <c r="B20" s="70"/>
      <c r="C20" s="73" t="s">
        <v>13</v>
      </c>
      <c r="D20" s="70"/>
      <c r="E20" s="38" t="s">
        <v>45</v>
      </c>
      <c r="F20" s="73" t="s">
        <v>46</v>
      </c>
      <c r="G20" s="70"/>
      <c r="H20" s="73" t="s">
        <v>47</v>
      </c>
      <c r="I20" s="70"/>
    </row>
    <row r="21" spans="1:9" ht="14.25" customHeight="1">
      <c r="A21" s="74"/>
      <c r="B21" s="70"/>
      <c r="C21" s="75"/>
      <c r="D21" s="70"/>
      <c r="E21" s="29" t="s">
        <v>48</v>
      </c>
      <c r="F21" s="75" t="s">
        <v>48</v>
      </c>
      <c r="G21" s="70"/>
      <c r="H21" s="75" t="s">
        <v>48</v>
      </c>
      <c r="I21" s="70"/>
    </row>
    <row r="22" spans="1:9" ht="14.25" customHeight="1">
      <c r="A22" s="69" t="s">
        <v>475</v>
      </c>
      <c r="B22" s="70"/>
      <c r="C22" s="71" t="s">
        <v>476</v>
      </c>
      <c r="D22" s="70"/>
      <c r="E22" s="30" t="s">
        <v>481</v>
      </c>
      <c r="F22" s="90">
        <v>43132</v>
      </c>
      <c r="G22" s="70"/>
      <c r="H22" s="91">
        <v>43497</v>
      </c>
      <c r="I22" s="70"/>
    </row>
    <row r="23" spans="1:9" ht="14.25" customHeight="1">
      <c r="A23" s="74" t="s">
        <v>477</v>
      </c>
      <c r="B23" s="70"/>
      <c r="C23" s="75" t="s">
        <v>478</v>
      </c>
      <c r="D23" s="70"/>
      <c r="E23" s="29" t="s">
        <v>480</v>
      </c>
      <c r="F23" s="90">
        <v>43250</v>
      </c>
      <c r="G23" s="70"/>
      <c r="H23" s="91">
        <v>43615</v>
      </c>
      <c r="I23" s="70"/>
    </row>
    <row r="24" spans="1:9" ht="14.25" customHeight="1">
      <c r="A24" s="69" t="s">
        <v>477</v>
      </c>
      <c r="B24" s="70"/>
      <c r="C24" s="71" t="s">
        <v>479</v>
      </c>
      <c r="D24" s="70"/>
      <c r="E24" s="30" t="s">
        <v>482</v>
      </c>
      <c r="F24" s="90">
        <v>43250</v>
      </c>
      <c r="G24" s="70"/>
      <c r="H24" s="91">
        <v>43615</v>
      </c>
      <c r="I24" s="70"/>
    </row>
    <row r="25" spans="1:9" ht="14.25" customHeight="1">
      <c r="A25" s="31"/>
      <c r="B25" s="31"/>
      <c r="C25" s="31"/>
      <c r="D25" s="31"/>
      <c r="E25" s="31"/>
      <c r="F25" s="31"/>
      <c r="G25" s="31"/>
      <c r="H25" s="31"/>
      <c r="I25" s="31"/>
    </row>
    <row r="26" spans="1:9" ht="14.25" customHeight="1">
      <c r="A26" s="31"/>
      <c r="B26" s="31"/>
      <c r="C26" s="31"/>
      <c r="D26" s="31"/>
      <c r="E26" s="31"/>
      <c r="F26" s="31"/>
      <c r="G26" s="31"/>
      <c r="H26" s="31"/>
      <c r="I26" s="31"/>
    </row>
    <row r="27" spans="1:9" ht="14.25" customHeight="1" thickBot="1">
      <c r="A27" s="31"/>
      <c r="B27" s="31"/>
      <c r="C27" s="31"/>
      <c r="D27" s="31"/>
      <c r="E27" s="6" t="s">
        <v>49</v>
      </c>
      <c r="F27" s="31"/>
      <c r="G27" s="31"/>
      <c r="H27" s="31"/>
      <c r="I27" s="31"/>
    </row>
    <row r="28" spans="1:9" ht="14.25" customHeight="1">
      <c r="A28" s="72"/>
      <c r="B28" s="70"/>
      <c r="C28" s="73"/>
      <c r="D28" s="70"/>
      <c r="E28" s="38"/>
      <c r="F28" s="73"/>
      <c r="G28" s="70"/>
      <c r="H28" s="73"/>
      <c r="I28" s="70"/>
    </row>
    <row r="29" spans="1:9" ht="15.95" customHeight="1">
      <c r="A29" s="78" t="s">
        <v>50</v>
      </c>
      <c r="B29" s="70"/>
      <c r="C29" s="84" t="s">
        <v>51</v>
      </c>
      <c r="D29" s="70"/>
      <c r="E29" s="33"/>
      <c r="F29" s="78" t="s">
        <v>52</v>
      </c>
      <c r="G29" s="70"/>
      <c r="H29" s="84" t="s">
        <v>53</v>
      </c>
      <c r="I29" s="70"/>
    </row>
    <row r="30" spans="1:9" ht="15.95" customHeight="1">
      <c r="A30" s="74" t="s">
        <v>54</v>
      </c>
      <c r="B30" s="70"/>
      <c r="C30" s="75" t="s">
        <v>55</v>
      </c>
      <c r="D30" s="70"/>
      <c r="E30" s="32"/>
      <c r="F30" s="74" t="s">
        <v>56</v>
      </c>
      <c r="G30" s="70"/>
      <c r="H30" s="75" t="s">
        <v>57</v>
      </c>
      <c r="I30" s="70"/>
    </row>
    <row r="31" spans="1:9" ht="15.95" customHeight="1">
      <c r="A31" s="78" t="s">
        <v>58</v>
      </c>
      <c r="B31" s="70"/>
      <c r="C31" s="84" t="s">
        <v>51</v>
      </c>
      <c r="D31" s="70"/>
      <c r="E31" s="33"/>
      <c r="F31" s="78" t="s">
        <v>59</v>
      </c>
      <c r="G31" s="70"/>
      <c r="H31" s="84" t="s">
        <v>53</v>
      </c>
      <c r="I31" s="70"/>
    </row>
    <row r="32" spans="1:9" ht="15.95" customHeight="1">
      <c r="A32" s="74" t="s">
        <v>60</v>
      </c>
      <c r="B32" s="70"/>
      <c r="C32" s="75" t="s">
        <v>61</v>
      </c>
      <c r="D32" s="70"/>
      <c r="E32" s="32"/>
      <c r="F32" s="74" t="s">
        <v>62</v>
      </c>
      <c r="G32" s="70"/>
      <c r="H32" s="75" t="s">
        <v>63</v>
      </c>
      <c r="I32" s="70"/>
    </row>
    <row r="33" spans="1:11" ht="14.25" customHeight="1">
      <c r="A33" s="78" t="s">
        <v>64</v>
      </c>
      <c r="B33" s="70"/>
      <c r="C33" s="84" t="s">
        <v>65</v>
      </c>
      <c r="D33" s="70"/>
      <c r="E33" s="33"/>
      <c r="F33" s="78" t="s">
        <v>66</v>
      </c>
      <c r="G33" s="70"/>
      <c r="H33" s="84">
        <v>398.18031000000002</v>
      </c>
      <c r="I33" s="70"/>
    </row>
    <row r="34" spans="1:11" ht="32.1" customHeight="1">
      <c r="A34" s="77" t="s">
        <v>67</v>
      </c>
      <c r="B34" s="70"/>
      <c r="C34" s="75" t="s">
        <v>68</v>
      </c>
      <c r="D34" s="70"/>
      <c r="E34" s="32"/>
      <c r="F34" s="77" t="s">
        <v>69</v>
      </c>
      <c r="G34" s="70"/>
      <c r="H34" s="75">
        <v>398.17928000000001</v>
      </c>
      <c r="I34" s="70"/>
    </row>
    <row r="35" spans="1:11" ht="32.1" customHeight="1">
      <c r="A35" s="76" t="s">
        <v>70</v>
      </c>
      <c r="B35" s="70"/>
      <c r="C35" s="71" t="s">
        <v>71</v>
      </c>
      <c r="D35" s="70"/>
      <c r="E35" s="28"/>
      <c r="F35" s="76" t="s">
        <v>72</v>
      </c>
      <c r="G35" s="70"/>
      <c r="H35" s="71">
        <v>24.6</v>
      </c>
      <c r="I35" s="70"/>
    </row>
    <row r="36" spans="1:11" ht="32.1" customHeight="1">
      <c r="A36" s="77" t="s">
        <v>73</v>
      </c>
      <c r="B36" s="70"/>
      <c r="C36" s="75" t="s">
        <v>74</v>
      </c>
      <c r="D36" s="70"/>
      <c r="E36" s="32"/>
      <c r="F36" s="77" t="s">
        <v>75</v>
      </c>
      <c r="G36" s="70"/>
      <c r="H36" s="75">
        <v>24.6</v>
      </c>
      <c r="I36" s="70"/>
    </row>
    <row r="37" spans="1:11" ht="32.1" customHeight="1">
      <c r="A37" s="76" t="s">
        <v>76</v>
      </c>
      <c r="B37" s="70"/>
      <c r="C37" s="71" t="s">
        <v>77</v>
      </c>
      <c r="D37" s="70"/>
      <c r="E37" s="28"/>
      <c r="F37" s="76" t="s">
        <v>78</v>
      </c>
      <c r="G37" s="70"/>
      <c r="H37" s="71">
        <v>25</v>
      </c>
      <c r="I37" s="70"/>
    </row>
    <row r="38" spans="1:11" ht="14.25" customHeight="1">
      <c r="A38" s="74" t="s">
        <v>79</v>
      </c>
      <c r="B38" s="70"/>
      <c r="C38" s="75" t="s">
        <v>80</v>
      </c>
      <c r="D38" s="70"/>
      <c r="E38" s="32"/>
      <c r="F38" s="74" t="s">
        <v>81</v>
      </c>
      <c r="G38" s="70"/>
      <c r="H38" s="75"/>
      <c r="I38" s="70"/>
    </row>
    <row r="39" spans="1:11" ht="14.25" customHeight="1">
      <c r="A39" s="69" t="s">
        <v>82</v>
      </c>
      <c r="B39" s="70"/>
      <c r="C39" s="71" t="s">
        <v>83</v>
      </c>
      <c r="D39" s="70"/>
      <c r="E39" s="28"/>
      <c r="F39" s="69" t="s">
        <v>84</v>
      </c>
      <c r="G39" s="70"/>
      <c r="H39" s="71"/>
      <c r="I39" s="70"/>
    </row>
    <row r="40" spans="1:11" ht="14.25" customHeight="1">
      <c r="A40" s="74" t="s">
        <v>85</v>
      </c>
      <c r="B40" s="70"/>
      <c r="C40" s="75" t="s">
        <v>86</v>
      </c>
      <c r="D40" s="70"/>
      <c r="E40" s="32"/>
      <c r="F40" s="74" t="s">
        <v>87</v>
      </c>
      <c r="G40" s="70"/>
      <c r="H40" s="75">
        <v>-0.20699999999999999</v>
      </c>
      <c r="I40" s="70"/>
    </row>
    <row r="41" spans="1:11" ht="14.25" customHeight="1">
      <c r="A41" s="69"/>
      <c r="B41" s="70"/>
      <c r="C41" s="71"/>
      <c r="D41" s="70"/>
      <c r="E41" s="28"/>
      <c r="F41" s="69"/>
      <c r="G41" s="70"/>
      <c r="H41" s="71"/>
      <c r="I41" s="70"/>
    </row>
    <row r="42" spans="1:11" ht="14.25" customHeight="1">
      <c r="G42" s="31"/>
      <c r="H42" s="31"/>
      <c r="I42" s="31"/>
    </row>
    <row r="43" spans="1:11" ht="14.25" customHeight="1">
      <c r="G43" s="31"/>
      <c r="H43" s="31"/>
      <c r="I43" s="31"/>
    </row>
    <row r="44" spans="1:11" ht="14.25" customHeight="1">
      <c r="B44" s="31"/>
      <c r="C44" s="31"/>
      <c r="D44" s="31"/>
      <c r="E44" s="31"/>
      <c r="F44" s="31"/>
      <c r="G44" s="31"/>
      <c r="H44" s="31"/>
      <c r="I44" s="31"/>
    </row>
    <row r="45" spans="1:11" ht="16.5" customHeight="1" thickBot="1">
      <c r="A45" s="2"/>
      <c r="B45" s="2"/>
      <c r="C45" s="2"/>
      <c r="D45" s="79" t="s">
        <v>88</v>
      </c>
      <c r="E45" s="80"/>
      <c r="F45" s="80"/>
      <c r="G45" s="2"/>
      <c r="H45" s="2"/>
      <c r="I45" s="2"/>
    </row>
    <row r="46" spans="1:11" ht="25.5" customHeight="1">
      <c r="A46" s="16" t="s">
        <v>89</v>
      </c>
      <c r="B46" s="16" t="s">
        <v>90</v>
      </c>
      <c r="C46" s="17" t="s">
        <v>91</v>
      </c>
      <c r="D46" s="16" t="s">
        <v>92</v>
      </c>
      <c r="E46" s="16" t="s">
        <v>93</v>
      </c>
      <c r="F46" s="16" t="s">
        <v>94</v>
      </c>
      <c r="G46" s="15" t="s">
        <v>95</v>
      </c>
      <c r="H46" s="16" t="s">
        <v>96</v>
      </c>
      <c r="I46" s="17" t="s">
        <v>97</v>
      </c>
      <c r="J46" s="16" t="s">
        <v>98</v>
      </c>
    </row>
    <row r="47" spans="1:11" ht="14.25" customHeight="1">
      <c r="A47" s="36" t="s">
        <v>99</v>
      </c>
      <c r="B47" s="41">
        <v>0</v>
      </c>
      <c r="C47" s="10">
        <v>0.43392357679999999</v>
      </c>
      <c r="D47" s="42">
        <v>0.75</v>
      </c>
      <c r="E47" s="42">
        <v>-0.91</v>
      </c>
      <c r="F47" s="42">
        <v>0.91</v>
      </c>
      <c r="G47" s="36" t="s">
        <v>100</v>
      </c>
      <c r="H47" s="42">
        <v>0.16</v>
      </c>
      <c r="I47" s="42">
        <f>C47*100/(D47+H47)</f>
        <v>47.683909538461535</v>
      </c>
      <c r="J47" s="43">
        <v>1.0719415724162341E-2</v>
      </c>
      <c r="K47" t="s">
        <v>101</v>
      </c>
    </row>
    <row r="48" spans="1:11" ht="14.25" customHeight="1">
      <c r="A48" s="39" t="s">
        <v>102</v>
      </c>
      <c r="B48" s="44">
        <v>0</v>
      </c>
      <c r="C48" s="4">
        <v>0.43604511880000002</v>
      </c>
      <c r="D48" s="45">
        <v>0.75</v>
      </c>
      <c r="E48" s="45">
        <v>-0.9</v>
      </c>
      <c r="F48" s="45">
        <v>0.9</v>
      </c>
      <c r="G48" s="39" t="s">
        <v>100</v>
      </c>
      <c r="H48" s="45">
        <v>0.15</v>
      </c>
      <c r="I48" s="45">
        <f>C48*100/(D48+H48)</f>
        <v>48.44945764444445</v>
      </c>
      <c r="J48" s="46">
        <v>2.3834782346401601E-2</v>
      </c>
      <c r="K48" t="s">
        <v>101</v>
      </c>
    </row>
    <row r="49" spans="1:11" ht="14.25" customHeight="1">
      <c r="A49" s="36" t="s">
        <v>103</v>
      </c>
      <c r="B49" s="41">
        <v>0</v>
      </c>
      <c r="C49" s="10">
        <v>1.033130074</v>
      </c>
      <c r="D49" s="42">
        <v>0.75</v>
      </c>
      <c r="E49" s="42">
        <v>-1.07</v>
      </c>
      <c r="F49" s="42">
        <v>1.07</v>
      </c>
      <c r="G49" s="36" t="s">
        <v>100</v>
      </c>
      <c r="H49" s="42">
        <v>0.32</v>
      </c>
      <c r="I49" s="42">
        <f>C49*100/(D49+H49)</f>
        <v>96.554212523364484</v>
      </c>
      <c r="J49" s="43">
        <v>7.0103491559478814E-2</v>
      </c>
      <c r="K49" t="s">
        <v>101</v>
      </c>
    </row>
    <row r="50" spans="1:11" ht="14.25" customHeight="1">
      <c r="A50" s="39" t="s">
        <v>104</v>
      </c>
      <c r="B50" s="44">
        <v>0</v>
      </c>
      <c r="C50" s="10">
        <v>29.422924399999999</v>
      </c>
      <c r="D50" s="45">
        <v>0.75</v>
      </c>
      <c r="E50" s="45">
        <v>-14.75</v>
      </c>
      <c r="F50" s="45">
        <v>14.75</v>
      </c>
      <c r="G50" s="39" t="s">
        <v>100</v>
      </c>
      <c r="H50" s="45">
        <v>14</v>
      </c>
      <c r="I50" s="45">
        <f>C50*100/(D50+H50)</f>
        <v>199.47745355932204</v>
      </c>
      <c r="J50" s="46">
        <v>3.8440357302593262</v>
      </c>
      <c r="K50" t="s">
        <v>101</v>
      </c>
    </row>
    <row r="51" spans="1:11" ht="14.25" customHeight="1">
      <c r="A51" s="36" t="s">
        <v>105</v>
      </c>
      <c r="B51" s="41">
        <v>0</v>
      </c>
      <c r="C51" s="10">
        <v>84.059867580000002</v>
      </c>
      <c r="D51" s="42">
        <v>0.75</v>
      </c>
      <c r="E51" s="42">
        <v>-41.75</v>
      </c>
      <c r="F51" s="42">
        <v>41.75</v>
      </c>
      <c r="G51" s="36" t="s">
        <v>100</v>
      </c>
      <c r="H51" s="42">
        <v>41</v>
      </c>
      <c r="I51" s="42">
        <f>C51*100/(D51+H51)</f>
        <v>201.34100019161679</v>
      </c>
      <c r="J51" s="43">
        <v>10.77566649680362</v>
      </c>
      <c r="K51" t="s">
        <v>101</v>
      </c>
    </row>
    <row r="52" spans="1:11" ht="25.5" customHeight="1">
      <c r="A52" s="14" t="s">
        <v>106</v>
      </c>
      <c r="B52" s="24" t="s">
        <v>107</v>
      </c>
      <c r="C52" s="14" t="s">
        <v>108</v>
      </c>
      <c r="D52" s="14" t="s">
        <v>109</v>
      </c>
      <c r="E52" s="14" t="s">
        <v>110</v>
      </c>
      <c r="F52" s="14" t="s">
        <v>111</v>
      </c>
      <c r="G52" s="14" t="s">
        <v>112</v>
      </c>
      <c r="H52" s="14" t="s">
        <v>113</v>
      </c>
      <c r="I52" s="14" t="s">
        <v>97</v>
      </c>
      <c r="J52" s="14" t="s">
        <v>98</v>
      </c>
    </row>
    <row r="53" spans="1:11" ht="14.25" customHeight="1">
      <c r="A53" s="36">
        <v>0.01</v>
      </c>
      <c r="B53" s="47" t="s">
        <v>114</v>
      </c>
      <c r="C53" s="10">
        <v>1.000010636E-2</v>
      </c>
      <c r="D53" s="42">
        <f t="shared" ref="D53:D62" si="0">(5*ABS(A53)+0.5)/ABS(A53)</f>
        <v>55</v>
      </c>
      <c r="E53" s="36">
        <f t="shared" ref="E53:E92" si="1">A53-(D53+H53)*A53/1000000</f>
        <v>9.9991250000000011E-3</v>
      </c>
      <c r="F53" s="36">
        <f t="shared" ref="F53:F92" si="2">A53+(D53+H53)*A53/1000000</f>
        <v>1.0000874999999999E-2</v>
      </c>
      <c r="G53" s="42">
        <f t="shared" ref="G53:G92" si="3">(C53-A53)*1000000/A53</f>
        <v>10.636000000001367</v>
      </c>
      <c r="H53" s="36">
        <f t="shared" ref="H53:H60" si="4">(2.5*ABS(A53)+3*0.1)/ABS(A53)</f>
        <v>32.500000000000007</v>
      </c>
      <c r="I53" s="42">
        <f t="shared" ref="I53:I92" si="5">G53*100/(D53+H53)</f>
        <v>12.155428571430134</v>
      </c>
      <c r="J53" s="43">
        <v>1.911657689941425</v>
      </c>
      <c r="K53" t="s">
        <v>115</v>
      </c>
    </row>
    <row r="54" spans="1:11" ht="14.25" customHeight="1">
      <c r="A54" s="39">
        <v>0.02</v>
      </c>
      <c r="B54" s="48" t="s">
        <v>114</v>
      </c>
      <c r="C54" s="4">
        <v>2.0000146369999999E-2</v>
      </c>
      <c r="D54" s="45">
        <f t="shared" si="0"/>
        <v>30</v>
      </c>
      <c r="E54" s="39">
        <f t="shared" si="1"/>
        <v>1.9999050000000001E-2</v>
      </c>
      <c r="F54" s="39">
        <f t="shared" si="2"/>
        <v>2.000095E-2</v>
      </c>
      <c r="G54" s="45">
        <f t="shared" si="3"/>
        <v>7.3184999999434392</v>
      </c>
      <c r="H54" s="45">
        <f t="shared" si="4"/>
        <v>17.5</v>
      </c>
      <c r="I54" s="45">
        <f t="shared" si="5"/>
        <v>15.407368420933555</v>
      </c>
      <c r="J54" s="46">
        <v>1.3492540168795579</v>
      </c>
      <c r="K54" t="s">
        <v>116</v>
      </c>
    </row>
    <row r="55" spans="1:11" ht="14.25" customHeight="1">
      <c r="A55" s="36">
        <v>0.05</v>
      </c>
      <c r="B55" s="47" t="s">
        <v>114</v>
      </c>
      <c r="C55" s="10">
        <v>5.000023688E-2</v>
      </c>
      <c r="D55" s="42">
        <f t="shared" si="0"/>
        <v>15</v>
      </c>
      <c r="E55" s="36">
        <f t="shared" si="1"/>
        <v>4.9998825000000004E-2</v>
      </c>
      <c r="F55" s="36">
        <f t="shared" si="2"/>
        <v>5.0001175000000002E-2</v>
      </c>
      <c r="G55" s="42">
        <f t="shared" si="3"/>
        <v>4.7375999999432761</v>
      </c>
      <c r="H55" s="36">
        <f t="shared" si="4"/>
        <v>8.5</v>
      </c>
      <c r="I55" s="42">
        <f t="shared" si="5"/>
        <v>20.159999999758622</v>
      </c>
      <c r="J55" s="43">
        <v>0.34361311924602961</v>
      </c>
      <c r="K55" t="s">
        <v>117</v>
      </c>
    </row>
    <row r="56" spans="1:11" ht="14.25" customHeight="1">
      <c r="A56" s="39">
        <v>0.1</v>
      </c>
      <c r="B56" s="48" t="s">
        <v>114</v>
      </c>
      <c r="C56" s="4">
        <v>0.100000359</v>
      </c>
      <c r="D56" s="45">
        <f t="shared" si="0"/>
        <v>10</v>
      </c>
      <c r="E56" s="39">
        <f t="shared" si="1"/>
        <v>9.9998450000000003E-2</v>
      </c>
      <c r="F56" s="39">
        <f t="shared" si="2"/>
        <v>0.10000155000000001</v>
      </c>
      <c r="G56" s="45">
        <f t="shared" si="3"/>
        <v>3.5899999999144949</v>
      </c>
      <c r="H56" s="45">
        <f t="shared" si="4"/>
        <v>5.5</v>
      </c>
      <c r="I56" s="45">
        <f t="shared" si="5"/>
        <v>23.161290322029</v>
      </c>
      <c r="J56" s="46">
        <v>0.10416775934186</v>
      </c>
      <c r="K56" t="s">
        <v>118</v>
      </c>
    </row>
    <row r="57" spans="1:11" ht="14.25" customHeight="1">
      <c r="A57" s="36">
        <v>-0.01</v>
      </c>
      <c r="B57" s="47" t="s">
        <v>114</v>
      </c>
      <c r="C57" s="10">
        <v>-9.9999478099999997E-3</v>
      </c>
      <c r="D57" s="42">
        <f t="shared" si="0"/>
        <v>55</v>
      </c>
      <c r="E57" s="36">
        <f t="shared" si="1"/>
        <v>-9.9991250000000011E-3</v>
      </c>
      <c r="F57" s="36">
        <f t="shared" si="2"/>
        <v>-1.0000874999999999E-2</v>
      </c>
      <c r="G57" s="42">
        <f t="shared" si="3"/>
        <v>-5.2190000000493226</v>
      </c>
      <c r="H57" s="36">
        <f t="shared" si="4"/>
        <v>32.500000000000007</v>
      </c>
      <c r="I57" s="42">
        <f t="shared" si="5"/>
        <v>-5.9645714286277975</v>
      </c>
      <c r="J57" s="43">
        <v>-2.5914028323233391</v>
      </c>
      <c r="K57" t="s">
        <v>115</v>
      </c>
    </row>
    <row r="58" spans="1:11" ht="14.25" customHeight="1">
      <c r="A58" s="39">
        <v>-0.02</v>
      </c>
      <c r="B58" s="48" t="s">
        <v>114</v>
      </c>
      <c r="C58" s="4">
        <v>-1.9999945040000001E-2</v>
      </c>
      <c r="D58" s="45">
        <f t="shared" si="0"/>
        <v>30</v>
      </c>
      <c r="E58" s="39">
        <f t="shared" si="1"/>
        <v>-1.9999050000000001E-2</v>
      </c>
      <c r="F58" s="39">
        <f t="shared" si="2"/>
        <v>-2.000095E-2</v>
      </c>
      <c r="G58" s="45">
        <f t="shared" si="3"/>
        <v>-2.7479999999482918</v>
      </c>
      <c r="H58" s="45">
        <f t="shared" si="4"/>
        <v>17.5</v>
      </c>
      <c r="I58" s="45">
        <f t="shared" si="5"/>
        <v>-5.7852631577858782</v>
      </c>
      <c r="J58" s="46">
        <v>-1.255335189775437</v>
      </c>
      <c r="K58" t="s">
        <v>116</v>
      </c>
    </row>
    <row r="59" spans="1:11" ht="14.25" customHeight="1">
      <c r="A59" s="36">
        <v>-0.05</v>
      </c>
      <c r="B59" s="47" t="s">
        <v>114</v>
      </c>
      <c r="C59" s="10">
        <v>-4.9999998359999999E-2</v>
      </c>
      <c r="D59" s="42">
        <f t="shared" si="0"/>
        <v>15</v>
      </c>
      <c r="E59" s="36">
        <f t="shared" si="1"/>
        <v>-4.9998825000000004E-2</v>
      </c>
      <c r="F59" s="36">
        <f t="shared" si="2"/>
        <v>-5.0001175000000002E-2</v>
      </c>
      <c r="G59" s="42">
        <f t="shared" si="3"/>
        <v>-3.2800000077104485E-2</v>
      </c>
      <c r="H59" s="36">
        <f t="shared" si="4"/>
        <v>8.5</v>
      </c>
      <c r="I59" s="42">
        <f t="shared" si="5"/>
        <v>-0.13957446841321058</v>
      </c>
      <c r="J59" s="43">
        <v>-0.31858147745151721</v>
      </c>
      <c r="K59" t="s">
        <v>117</v>
      </c>
    </row>
    <row r="60" spans="1:11" ht="14.25" customHeight="1">
      <c r="A60" s="39">
        <v>-0.1</v>
      </c>
      <c r="B60" s="48" t="s">
        <v>114</v>
      </c>
      <c r="C60" s="4">
        <v>-0.1000001148</v>
      </c>
      <c r="D60" s="45">
        <f t="shared" si="0"/>
        <v>10</v>
      </c>
      <c r="E60" s="39">
        <f t="shared" si="1"/>
        <v>-9.9998450000000003E-2</v>
      </c>
      <c r="F60" s="39">
        <f t="shared" si="2"/>
        <v>-0.10000155000000001</v>
      </c>
      <c r="G60" s="45">
        <f t="shared" si="3"/>
        <v>1.1479999999230994</v>
      </c>
      <c r="H60" s="45">
        <f t="shared" si="4"/>
        <v>5.5</v>
      </c>
      <c r="I60" s="45">
        <f t="shared" si="5"/>
        <v>7.4064516124070936</v>
      </c>
      <c r="J60" s="46">
        <v>-0.20157467884728961</v>
      </c>
      <c r="K60" t="s">
        <v>118</v>
      </c>
    </row>
    <row r="61" spans="1:11" ht="14.25" customHeight="1">
      <c r="A61" s="36">
        <v>0.1</v>
      </c>
      <c r="B61" s="47" t="s">
        <v>119</v>
      </c>
      <c r="C61" s="10">
        <v>0.1000004879</v>
      </c>
      <c r="D61" s="42">
        <f t="shared" si="0"/>
        <v>10</v>
      </c>
      <c r="E61" s="36">
        <f t="shared" si="1"/>
        <v>9.9998550000000005E-2</v>
      </c>
      <c r="F61" s="36">
        <f t="shared" si="2"/>
        <v>0.10000145000000001</v>
      </c>
      <c r="G61" s="42">
        <f t="shared" si="3"/>
        <v>4.8789999999854228</v>
      </c>
      <c r="H61" s="36">
        <f t="shared" ref="H61:H68" si="6">(1.5*ABS(A61)+0.3*1)/ABS(A61)</f>
        <v>4.5</v>
      </c>
      <c r="I61" s="42">
        <f t="shared" si="5"/>
        <v>33.648275861968436</v>
      </c>
      <c r="J61" s="43">
        <v>0.33068874193201131</v>
      </c>
      <c r="K61" t="s">
        <v>118</v>
      </c>
    </row>
    <row r="62" spans="1:11" ht="14.25" customHeight="1">
      <c r="A62" s="39">
        <v>0.2</v>
      </c>
      <c r="B62" s="48" t="s">
        <v>119</v>
      </c>
      <c r="C62" s="4">
        <v>0.2000007936</v>
      </c>
      <c r="D62" s="45">
        <f t="shared" si="0"/>
        <v>7.5</v>
      </c>
      <c r="E62" s="39">
        <f t="shared" si="1"/>
        <v>0.19999790000000001</v>
      </c>
      <c r="F62" s="39">
        <f t="shared" si="2"/>
        <v>0.20000210000000002</v>
      </c>
      <c r="G62" s="45">
        <f t="shared" si="3"/>
        <v>3.9679999999653326</v>
      </c>
      <c r="H62" s="45">
        <f t="shared" si="6"/>
        <v>3.0000000000000004</v>
      </c>
      <c r="I62" s="45">
        <f t="shared" si="5"/>
        <v>37.790476190146023</v>
      </c>
      <c r="J62" s="46">
        <v>0.1250386088468407</v>
      </c>
      <c r="K62" t="s">
        <v>120</v>
      </c>
    </row>
    <row r="63" spans="1:11" ht="14.25" customHeight="1">
      <c r="A63" s="36">
        <v>0.5</v>
      </c>
      <c r="B63" s="47" t="s">
        <v>119</v>
      </c>
      <c r="C63" s="10">
        <v>0.50000087900000001</v>
      </c>
      <c r="D63" s="42">
        <f t="shared" ref="D63:D70" si="7">(3.5*ABS(A63)+0.8)/ABS(A63)</f>
        <v>5.0999999999999996</v>
      </c>
      <c r="E63" s="36">
        <f t="shared" si="1"/>
        <v>0.49999640000000001</v>
      </c>
      <c r="F63" s="36">
        <f t="shared" si="2"/>
        <v>0.50000359999999999</v>
      </c>
      <c r="G63" s="42">
        <f t="shared" si="3"/>
        <v>1.758000000018356</v>
      </c>
      <c r="H63" s="36">
        <f t="shared" si="6"/>
        <v>2.1</v>
      </c>
      <c r="I63" s="42">
        <f t="shared" si="5"/>
        <v>24.416666666921614</v>
      </c>
      <c r="J63" s="43">
        <v>0.26093572974681628</v>
      </c>
      <c r="K63" t="s">
        <v>121</v>
      </c>
    </row>
    <row r="64" spans="1:11" ht="14.25" customHeight="1">
      <c r="A64" s="39">
        <v>1</v>
      </c>
      <c r="B64" s="48" t="s">
        <v>119</v>
      </c>
      <c r="C64" s="4">
        <v>1.00000193</v>
      </c>
      <c r="D64" s="45">
        <f t="shared" si="7"/>
        <v>4.3</v>
      </c>
      <c r="E64" s="39">
        <f t="shared" si="1"/>
        <v>0.99999389999999999</v>
      </c>
      <c r="F64" s="39">
        <f t="shared" si="2"/>
        <v>1.0000061</v>
      </c>
      <c r="G64" s="45">
        <f t="shared" si="3"/>
        <v>1.9300000000388451</v>
      </c>
      <c r="H64" s="45">
        <f t="shared" si="6"/>
        <v>1.8</v>
      </c>
      <c r="I64" s="45">
        <f t="shared" si="5"/>
        <v>31.639344262931889</v>
      </c>
      <c r="J64" s="46">
        <v>5.3983175113207528E-2</v>
      </c>
      <c r="K64" t="s">
        <v>122</v>
      </c>
    </row>
    <row r="65" spans="1:11" ht="14.25" customHeight="1">
      <c r="A65" s="36">
        <v>-0.1</v>
      </c>
      <c r="B65" s="47" t="s">
        <v>119</v>
      </c>
      <c r="C65" s="10">
        <v>-0.1000001044</v>
      </c>
      <c r="D65" s="42">
        <f t="shared" si="7"/>
        <v>11.5</v>
      </c>
      <c r="E65" s="36">
        <f t="shared" si="1"/>
        <v>-9.9998400000000001E-2</v>
      </c>
      <c r="F65" s="36">
        <f t="shared" si="2"/>
        <v>-0.10000160000000001</v>
      </c>
      <c r="G65" s="42">
        <f t="shared" si="3"/>
        <v>1.0439999999223293</v>
      </c>
      <c r="H65" s="36">
        <f t="shared" si="6"/>
        <v>4.5</v>
      </c>
      <c r="I65" s="42">
        <f t="shared" si="5"/>
        <v>6.5249999995145576</v>
      </c>
      <c r="J65" s="43">
        <v>-0.25825982751349208</v>
      </c>
      <c r="K65" t="s">
        <v>118</v>
      </c>
    </row>
    <row r="66" spans="1:11" ht="14.25" customHeight="1">
      <c r="A66" s="39">
        <v>-0.2</v>
      </c>
      <c r="B66" s="48" t="s">
        <v>119</v>
      </c>
      <c r="C66" s="4">
        <v>-0.2000003856</v>
      </c>
      <c r="D66" s="45">
        <f t="shared" si="7"/>
        <v>7.5</v>
      </c>
      <c r="E66" s="39">
        <f t="shared" si="1"/>
        <v>-0.19999790000000001</v>
      </c>
      <c r="F66" s="39">
        <f t="shared" si="2"/>
        <v>-0.20000210000000002</v>
      </c>
      <c r="G66" s="45">
        <f t="shared" si="3"/>
        <v>1.9279999999288755</v>
      </c>
      <c r="H66" s="45">
        <f t="shared" si="6"/>
        <v>3.0000000000000004</v>
      </c>
      <c r="I66" s="45">
        <f t="shared" si="5"/>
        <v>18.361904761227386</v>
      </c>
      <c r="J66" s="46">
        <v>-0.15751041023566581</v>
      </c>
      <c r="K66" t="s">
        <v>120</v>
      </c>
    </row>
    <row r="67" spans="1:11" ht="14.25" customHeight="1">
      <c r="A67" s="36">
        <v>-0.5</v>
      </c>
      <c r="B67" s="47" t="s">
        <v>119</v>
      </c>
      <c r="C67" s="10">
        <v>-0.50000098230000001</v>
      </c>
      <c r="D67" s="42">
        <f t="shared" si="7"/>
        <v>5.0999999999999996</v>
      </c>
      <c r="E67" s="36">
        <f t="shared" si="1"/>
        <v>-0.49999640000000001</v>
      </c>
      <c r="F67" s="36">
        <f t="shared" si="2"/>
        <v>-0.50000359999999999</v>
      </c>
      <c r="G67" s="42">
        <f t="shared" si="3"/>
        <v>1.9646000000150821</v>
      </c>
      <c r="H67" s="36">
        <f t="shared" si="6"/>
        <v>2.1</v>
      </c>
      <c r="I67" s="42">
        <f t="shared" si="5"/>
        <v>27.286111111320587</v>
      </c>
      <c r="J67" s="43">
        <v>-0.1416914214178743</v>
      </c>
      <c r="K67" t="s">
        <v>121</v>
      </c>
    </row>
    <row r="68" spans="1:11" ht="14.25" customHeight="1">
      <c r="A68" s="39">
        <v>-1</v>
      </c>
      <c r="B68" s="48" t="s">
        <v>119</v>
      </c>
      <c r="C68" s="4">
        <v>-1.0000017560000001</v>
      </c>
      <c r="D68" s="45">
        <f t="shared" si="7"/>
        <v>4.3</v>
      </c>
      <c r="E68" s="39">
        <f t="shared" si="1"/>
        <v>-0.99999389999999999</v>
      </c>
      <c r="F68" s="39">
        <f t="shared" si="2"/>
        <v>-1.0000061</v>
      </c>
      <c r="G68" s="45">
        <f t="shared" si="3"/>
        <v>1.7560000000749199</v>
      </c>
      <c r="H68" s="45">
        <f t="shared" si="6"/>
        <v>1.8</v>
      </c>
      <c r="I68" s="45">
        <f t="shared" si="5"/>
        <v>28.786885247129835</v>
      </c>
      <c r="J68" s="46">
        <v>-2.636965431750498E-2</v>
      </c>
      <c r="K68" t="s">
        <v>122</v>
      </c>
    </row>
    <row r="69" spans="1:11" ht="14.25" customHeight="1">
      <c r="A69" s="36">
        <v>1</v>
      </c>
      <c r="B69" s="47" t="s">
        <v>123</v>
      </c>
      <c r="C69" s="10">
        <v>1.0000023730000001</v>
      </c>
      <c r="D69" s="42">
        <f t="shared" si="7"/>
        <v>4.3</v>
      </c>
      <c r="E69" s="36">
        <f t="shared" si="1"/>
        <v>0.99999470000000001</v>
      </c>
      <c r="F69" s="36">
        <f t="shared" si="2"/>
        <v>1.0000053</v>
      </c>
      <c r="G69" s="42">
        <f t="shared" si="3"/>
        <v>2.3730000000554696</v>
      </c>
      <c r="H69" s="36">
        <f t="shared" ref="H69:H76" si="8">(0.5*ABS(A69)+0.05*10)/ABS(A69)</f>
        <v>1</v>
      </c>
      <c r="I69" s="42">
        <f t="shared" si="5"/>
        <v>44.773584906706972</v>
      </c>
      <c r="J69" s="43">
        <v>9.7488371976539159E-2</v>
      </c>
      <c r="K69" t="s">
        <v>122</v>
      </c>
    </row>
    <row r="70" spans="1:11" ht="14.25" customHeight="1">
      <c r="A70" s="39">
        <v>2</v>
      </c>
      <c r="B70" s="48" t="s">
        <v>123</v>
      </c>
      <c r="C70" s="4">
        <v>2.000003274</v>
      </c>
      <c r="D70" s="45">
        <f t="shared" si="7"/>
        <v>3.9</v>
      </c>
      <c r="E70" s="39">
        <f t="shared" si="1"/>
        <v>1.9999906999999999</v>
      </c>
      <c r="F70" s="39">
        <f t="shared" si="2"/>
        <v>2.0000092999999999</v>
      </c>
      <c r="G70" s="45">
        <f t="shared" si="3"/>
        <v>1.6369999999987783</v>
      </c>
      <c r="H70" s="45">
        <f t="shared" si="8"/>
        <v>0.75</v>
      </c>
      <c r="I70" s="45">
        <f t="shared" si="5"/>
        <v>35.20430107524254</v>
      </c>
      <c r="J70" s="46">
        <v>4.3276735248022682E-2</v>
      </c>
      <c r="K70" t="s">
        <v>124</v>
      </c>
    </row>
    <row r="71" spans="1:11" ht="14.25" customHeight="1">
      <c r="A71" s="36">
        <v>5</v>
      </c>
      <c r="B71" s="47" t="s">
        <v>123</v>
      </c>
      <c r="C71" s="10">
        <v>5.0000090789999998</v>
      </c>
      <c r="D71" s="42">
        <f>(2.5*ABS(A71)+3)/ABS(A71)</f>
        <v>3.1</v>
      </c>
      <c r="E71" s="36">
        <f t="shared" si="1"/>
        <v>4.9999814999999996</v>
      </c>
      <c r="F71" s="36">
        <f t="shared" si="2"/>
        <v>5.0000185000000004</v>
      </c>
      <c r="G71" s="42">
        <f t="shared" si="3"/>
        <v>1.815799999960177</v>
      </c>
      <c r="H71" s="36">
        <f t="shared" si="8"/>
        <v>0.6</v>
      </c>
      <c r="I71" s="42">
        <f t="shared" si="5"/>
        <v>49.075675674599374</v>
      </c>
      <c r="J71" s="43">
        <v>5.4768149689801197E-2</v>
      </c>
      <c r="K71" t="s">
        <v>125</v>
      </c>
    </row>
    <row r="72" spans="1:11" ht="14.25" customHeight="1">
      <c r="A72" s="39">
        <v>10</v>
      </c>
      <c r="B72" s="48" t="s">
        <v>123</v>
      </c>
      <c r="C72" s="4">
        <v>10.00001464</v>
      </c>
      <c r="D72" s="45">
        <f>(2.5*ABS(A72)+3)/ABS(A72)</f>
        <v>2.8</v>
      </c>
      <c r="E72" s="39">
        <f t="shared" si="1"/>
        <v>9.9999664999999993</v>
      </c>
      <c r="F72" s="39">
        <f t="shared" si="2"/>
        <v>10.000033500000001</v>
      </c>
      <c r="G72" s="45">
        <f t="shared" si="3"/>
        <v>1.4639999999843667</v>
      </c>
      <c r="H72" s="45">
        <f t="shared" si="8"/>
        <v>0.55000000000000004</v>
      </c>
      <c r="I72" s="45">
        <f t="shared" si="5"/>
        <v>43.701492536846771</v>
      </c>
      <c r="J72" s="46">
        <v>3.4007302348991561E-2</v>
      </c>
      <c r="K72" t="s">
        <v>126</v>
      </c>
    </row>
    <row r="73" spans="1:11" ht="14.25" customHeight="1">
      <c r="A73" s="36">
        <v>-1</v>
      </c>
      <c r="B73" s="47" t="s">
        <v>123</v>
      </c>
      <c r="C73" s="10">
        <v>-1.000000832</v>
      </c>
      <c r="D73" s="42">
        <f>(3.5*ABS(A73)+0.8)/ABS(A73)</f>
        <v>4.3</v>
      </c>
      <c r="E73" s="36">
        <f t="shared" si="1"/>
        <v>-0.99999470000000001</v>
      </c>
      <c r="F73" s="36">
        <f t="shared" si="2"/>
        <v>-1.0000053</v>
      </c>
      <c r="G73" s="42">
        <f t="shared" si="3"/>
        <v>0.83200000000616114</v>
      </c>
      <c r="H73" s="36">
        <f t="shared" si="8"/>
        <v>1</v>
      </c>
      <c r="I73" s="42">
        <f t="shared" si="5"/>
        <v>15.698113207663418</v>
      </c>
      <c r="J73" s="43">
        <v>-0.1231553999390249</v>
      </c>
      <c r="K73" t="s">
        <v>122</v>
      </c>
    </row>
    <row r="74" spans="1:11" ht="14.25" customHeight="1">
      <c r="A74" s="39">
        <v>-2</v>
      </c>
      <c r="B74" s="48" t="s">
        <v>123</v>
      </c>
      <c r="C74" s="4">
        <v>-2.0000017510000001</v>
      </c>
      <c r="D74" s="45">
        <f>(3.5*ABS(A74)+0.8)/ABS(A74)</f>
        <v>3.9</v>
      </c>
      <c r="E74" s="39">
        <f t="shared" si="1"/>
        <v>-1.9999906999999999</v>
      </c>
      <c r="F74" s="39">
        <f t="shared" si="2"/>
        <v>-2.0000092999999999</v>
      </c>
      <c r="G74" s="45">
        <f t="shared" si="3"/>
        <v>0.8755000000526536</v>
      </c>
      <c r="H74" s="45">
        <f t="shared" si="8"/>
        <v>0.75</v>
      </c>
      <c r="I74" s="45">
        <f t="shared" si="5"/>
        <v>18.827956990379647</v>
      </c>
      <c r="J74" s="46">
        <v>-3.0698552555690189E-2</v>
      </c>
      <c r="K74" t="s">
        <v>124</v>
      </c>
    </row>
    <row r="75" spans="1:11" ht="14.25" customHeight="1">
      <c r="A75" s="36">
        <v>-5</v>
      </c>
      <c r="B75" s="47" t="s">
        <v>123</v>
      </c>
      <c r="C75" s="10">
        <v>-5.0000062070000002</v>
      </c>
      <c r="D75" s="42">
        <f>(2.5*ABS(A75)+3)/ABS(A75)</f>
        <v>3.1</v>
      </c>
      <c r="E75" s="36">
        <f t="shared" si="1"/>
        <v>-4.9999814999999996</v>
      </c>
      <c r="F75" s="36">
        <f t="shared" si="2"/>
        <v>-5.0000185000000004</v>
      </c>
      <c r="G75" s="42">
        <f t="shared" si="3"/>
        <v>1.2414000000404712</v>
      </c>
      <c r="H75" s="36">
        <f t="shared" si="8"/>
        <v>0.6</v>
      </c>
      <c r="I75" s="42">
        <f t="shared" si="5"/>
        <v>33.551351352445167</v>
      </c>
      <c r="J75" s="43">
        <v>-6.2630425965479491E-2</v>
      </c>
      <c r="K75" t="s">
        <v>125</v>
      </c>
    </row>
    <row r="76" spans="1:11" ht="14.25" customHeight="1">
      <c r="A76" s="39">
        <v>-10</v>
      </c>
      <c r="B76" s="48" t="s">
        <v>123</v>
      </c>
      <c r="C76" s="4">
        <v>-10.000010700000001</v>
      </c>
      <c r="D76" s="45">
        <f>(2.5*ABS(A76)+3)/ABS(A76)</f>
        <v>2.8</v>
      </c>
      <c r="E76" s="39">
        <f t="shared" si="1"/>
        <v>-9.9999664999999993</v>
      </c>
      <c r="F76" s="39">
        <f t="shared" si="2"/>
        <v>-10.000033500000001</v>
      </c>
      <c r="G76" s="45">
        <f t="shared" si="3"/>
        <v>1.0700000000696264</v>
      </c>
      <c r="H76" s="45">
        <f t="shared" si="8"/>
        <v>0.55000000000000004</v>
      </c>
      <c r="I76" s="45">
        <f t="shared" si="5"/>
        <v>31.940298509541091</v>
      </c>
      <c r="J76" s="46">
        <v>-2.6078912086771239E-2</v>
      </c>
      <c r="K76" t="s">
        <v>126</v>
      </c>
    </row>
    <row r="77" spans="1:11" ht="14.25" customHeight="1">
      <c r="A77" s="36">
        <v>10</v>
      </c>
      <c r="B77" s="47" t="s">
        <v>127</v>
      </c>
      <c r="C77" s="10">
        <v>10.000042000000001</v>
      </c>
      <c r="D77" s="42">
        <f>(2.5*ABS(A77)+3)/ABS(A77)</f>
        <v>2.8</v>
      </c>
      <c r="E77" s="36">
        <f t="shared" si="1"/>
        <v>9.9999169999999999</v>
      </c>
      <c r="F77" s="36">
        <f t="shared" si="2"/>
        <v>10.000083</v>
      </c>
      <c r="G77" s="42">
        <f t="shared" si="3"/>
        <v>4.2000000000541604</v>
      </c>
      <c r="H77" s="36">
        <f t="shared" ref="H77:H84" si="9">(2.5*ABS(A77)+0.3*100)/ABS(A77)</f>
        <v>5.5</v>
      </c>
      <c r="I77" s="42">
        <f t="shared" si="5"/>
        <v>50.602409639206748</v>
      </c>
      <c r="J77" s="43">
        <v>0.58882491626027045</v>
      </c>
      <c r="K77" t="s">
        <v>126</v>
      </c>
    </row>
    <row r="78" spans="1:11" ht="14.25" customHeight="1">
      <c r="A78" s="39">
        <v>20</v>
      </c>
      <c r="B78" s="48" t="s">
        <v>127</v>
      </c>
      <c r="C78" s="4">
        <v>20.000053000000001</v>
      </c>
      <c r="D78" s="45">
        <f>(2.5*ABS(A78)+3)/ABS(A78)</f>
        <v>2.65</v>
      </c>
      <c r="E78" s="39">
        <f t="shared" si="1"/>
        <v>19.999866999999998</v>
      </c>
      <c r="F78" s="39">
        <f t="shared" si="2"/>
        <v>20.000133000000002</v>
      </c>
      <c r="G78" s="45">
        <f t="shared" si="3"/>
        <v>2.6500000000595492</v>
      </c>
      <c r="H78" s="45">
        <f t="shared" si="9"/>
        <v>4</v>
      </c>
      <c r="I78" s="45">
        <f t="shared" si="5"/>
        <v>39.849624061045851</v>
      </c>
      <c r="J78" s="46">
        <v>0.23500156398194241</v>
      </c>
      <c r="K78" t="s">
        <v>128</v>
      </c>
    </row>
    <row r="79" spans="1:11" ht="14.25" customHeight="1">
      <c r="A79" s="36">
        <v>50</v>
      </c>
      <c r="B79" s="47" t="s">
        <v>127</v>
      </c>
      <c r="C79" s="10">
        <v>50.000129260000001</v>
      </c>
      <c r="D79" s="42">
        <f>(3.5*ABS(A79)+50)/ABS(A79)</f>
        <v>4.5</v>
      </c>
      <c r="E79" s="36">
        <f t="shared" si="1"/>
        <v>49.99962</v>
      </c>
      <c r="F79" s="36">
        <f t="shared" si="2"/>
        <v>50.00038</v>
      </c>
      <c r="G79" s="42">
        <f t="shared" si="3"/>
        <v>2.5852000000270436</v>
      </c>
      <c r="H79" s="36">
        <f t="shared" si="9"/>
        <v>3.1</v>
      </c>
      <c r="I79" s="42">
        <f t="shared" si="5"/>
        <v>34.015789474040048</v>
      </c>
      <c r="J79" s="43">
        <v>0.12551508407592529</v>
      </c>
      <c r="K79" t="s">
        <v>129</v>
      </c>
    </row>
    <row r="80" spans="1:11" ht="14.25" customHeight="1">
      <c r="A80" s="39">
        <v>100</v>
      </c>
      <c r="B80" s="48" t="s">
        <v>127</v>
      </c>
      <c r="C80" s="4">
        <v>100.000193</v>
      </c>
      <c r="D80" s="45">
        <f>(3.5*ABS(A80)+50)/ABS(A80)</f>
        <v>4</v>
      </c>
      <c r="E80" s="39">
        <f t="shared" si="1"/>
        <v>99.999319999999997</v>
      </c>
      <c r="F80" s="39">
        <f t="shared" si="2"/>
        <v>100.00068</v>
      </c>
      <c r="G80" s="45">
        <f t="shared" si="3"/>
        <v>1.929999999958909</v>
      </c>
      <c r="H80" s="45">
        <f t="shared" si="9"/>
        <v>2.8</v>
      </c>
      <c r="I80" s="45">
        <f t="shared" si="5"/>
        <v>28.382352940572193</v>
      </c>
      <c r="J80" s="46">
        <v>5.2997539159120872E-2</v>
      </c>
      <c r="K80" t="s">
        <v>130</v>
      </c>
    </row>
    <row r="81" spans="1:11" ht="14.25" customHeight="1">
      <c r="A81" s="36">
        <v>-10</v>
      </c>
      <c r="B81" s="47" t="s">
        <v>127</v>
      </c>
      <c r="C81" s="10">
        <v>-10.00000627</v>
      </c>
      <c r="D81" s="42">
        <f>(2.5*ABS(A81)+3)/ABS(A81)</f>
        <v>2.8</v>
      </c>
      <c r="E81" s="36">
        <f t="shared" si="1"/>
        <v>-9.9999169999999999</v>
      </c>
      <c r="F81" s="36">
        <f t="shared" si="2"/>
        <v>-10.000083</v>
      </c>
      <c r="G81" s="42">
        <f t="shared" si="3"/>
        <v>0.62700000000859291</v>
      </c>
      <c r="H81" s="36">
        <f t="shared" si="9"/>
        <v>5.5</v>
      </c>
      <c r="I81" s="42">
        <f t="shared" si="5"/>
        <v>7.554216867573408</v>
      </c>
      <c r="J81" s="43">
        <v>-0.45603327764777352</v>
      </c>
      <c r="K81" t="s">
        <v>126</v>
      </c>
    </row>
    <row r="82" spans="1:11" ht="14.25" customHeight="1">
      <c r="A82" s="39">
        <v>-20</v>
      </c>
      <c r="B82" s="48" t="s">
        <v>127</v>
      </c>
      <c r="C82" s="4">
        <v>-20.000024799999998</v>
      </c>
      <c r="D82" s="45">
        <f>(2.5*ABS(A82)+3)/ABS(A82)</f>
        <v>2.65</v>
      </c>
      <c r="E82" s="39">
        <f t="shared" si="1"/>
        <v>-19.999866999999998</v>
      </c>
      <c r="F82" s="39">
        <f t="shared" si="2"/>
        <v>-20.000133000000002</v>
      </c>
      <c r="G82" s="45">
        <f t="shared" si="3"/>
        <v>1.2399999999246347</v>
      </c>
      <c r="H82" s="45">
        <f t="shared" si="9"/>
        <v>4</v>
      </c>
      <c r="I82" s="45">
        <f t="shared" si="5"/>
        <v>18.646616540220069</v>
      </c>
      <c r="J82" s="46">
        <v>-9.7881964740993185E-2</v>
      </c>
      <c r="K82" t="s">
        <v>128</v>
      </c>
    </row>
    <row r="83" spans="1:11" ht="14.25" customHeight="1">
      <c r="A83" s="36">
        <v>-50</v>
      </c>
      <c r="B83" s="47" t="s">
        <v>127</v>
      </c>
      <c r="C83" s="10">
        <v>-50.000163059999998</v>
      </c>
      <c r="D83" s="42">
        <f>(3.5*ABS(A83)+50)/ABS(A83)</f>
        <v>4.5</v>
      </c>
      <c r="E83" s="36">
        <f t="shared" si="1"/>
        <v>-49.99962</v>
      </c>
      <c r="F83" s="36">
        <f t="shared" si="2"/>
        <v>-50.00038</v>
      </c>
      <c r="G83" s="42">
        <f t="shared" si="3"/>
        <v>3.2611999999687669</v>
      </c>
      <c r="H83" s="36">
        <f t="shared" si="9"/>
        <v>3.1</v>
      </c>
      <c r="I83" s="42">
        <f t="shared" si="5"/>
        <v>42.910526315378512</v>
      </c>
      <c r="J83" s="43">
        <v>-0.2074045335520395</v>
      </c>
      <c r="K83" t="s">
        <v>129</v>
      </c>
    </row>
    <row r="84" spans="1:11" ht="14.25" customHeight="1">
      <c r="A84" s="39">
        <v>-100</v>
      </c>
      <c r="B84" s="48" t="s">
        <v>127</v>
      </c>
      <c r="C84" s="4">
        <v>-100.0002181</v>
      </c>
      <c r="D84" s="45">
        <f>(3.5*ABS(A84)+50)/ABS(A84)</f>
        <v>4</v>
      </c>
      <c r="E84" s="39">
        <f t="shared" si="1"/>
        <v>-99.999319999999997</v>
      </c>
      <c r="F84" s="39">
        <f t="shared" si="2"/>
        <v>-100.00068</v>
      </c>
      <c r="G84" s="45">
        <f t="shared" si="3"/>
        <v>2.1809999999788943</v>
      </c>
      <c r="H84" s="45">
        <f t="shared" si="9"/>
        <v>2.8</v>
      </c>
      <c r="I84" s="45">
        <f t="shared" si="5"/>
        <v>32.073529411454331</v>
      </c>
      <c r="J84" s="46">
        <v>-3.6927024848730679E-2</v>
      </c>
      <c r="K84" t="s">
        <v>130</v>
      </c>
    </row>
    <row r="85" spans="1:11" ht="14.25" customHeight="1">
      <c r="A85" s="36">
        <v>-100</v>
      </c>
      <c r="B85" s="47" t="s">
        <v>131</v>
      </c>
      <c r="C85" s="10">
        <v>-100.0001122</v>
      </c>
      <c r="D85" s="42">
        <f>(3.5*ABS(A85)+50)/ABS(A85)</f>
        <v>4</v>
      </c>
      <c r="E85" s="36">
        <f t="shared" si="1"/>
        <v>-99.999250000000004</v>
      </c>
      <c r="F85" s="36">
        <f t="shared" si="2"/>
        <v>-100.00075</v>
      </c>
      <c r="G85" s="42">
        <f t="shared" si="3"/>
        <v>1.122000000037815</v>
      </c>
      <c r="H85" s="36">
        <f>(2.5*ABS(A85)+0.1*1000)/ABS(A85)</f>
        <v>3.5</v>
      </c>
      <c r="I85" s="42">
        <f t="shared" si="5"/>
        <v>14.9600000005042</v>
      </c>
      <c r="J85" s="43">
        <v>-6.1149565691164059E-2</v>
      </c>
      <c r="K85" t="s">
        <v>130</v>
      </c>
    </row>
    <row r="86" spans="1:11" ht="14.25" customHeight="1">
      <c r="A86" s="39">
        <v>-200</v>
      </c>
      <c r="B86" s="48" t="s">
        <v>131</v>
      </c>
      <c r="C86" s="4">
        <v>-200.00014569999999</v>
      </c>
      <c r="D86" s="45">
        <f>(3.5*ABS(A86)+50)/ABS(A86)</f>
        <v>3.75</v>
      </c>
      <c r="E86" s="39">
        <f t="shared" si="1"/>
        <v>-199.99855400000001</v>
      </c>
      <c r="F86" s="39">
        <f t="shared" si="2"/>
        <v>-200.00144599999999</v>
      </c>
      <c r="G86" s="45">
        <f t="shared" si="3"/>
        <v>0.72849999995128201</v>
      </c>
      <c r="H86" s="45">
        <f>(2.5*ABS(A86)+0.1*1000)/ABS(A86)+12*(ABS(A86)/1000)^2</f>
        <v>3.48</v>
      </c>
      <c r="I86" s="45">
        <f t="shared" si="5"/>
        <v>10.076071921871121</v>
      </c>
      <c r="J86" s="46">
        <v>-6.3809783848311499E-2</v>
      </c>
      <c r="K86" t="s">
        <v>132</v>
      </c>
    </row>
    <row r="87" spans="1:11" ht="14.25" customHeight="1">
      <c r="A87" s="36">
        <v>-500</v>
      </c>
      <c r="B87" s="47" t="s">
        <v>131</v>
      </c>
      <c r="C87" s="10">
        <v>-500.00225469999998</v>
      </c>
      <c r="D87" s="42">
        <f t="shared" ref="D87:D92" si="10">(5*ABS(A87)+500)/ABS(A87)</f>
        <v>6</v>
      </c>
      <c r="E87" s="36">
        <f t="shared" si="1"/>
        <v>-499.99414999999999</v>
      </c>
      <c r="F87" s="36">
        <f t="shared" si="2"/>
        <v>-500.00585000000001</v>
      </c>
      <c r="G87" s="42">
        <f t="shared" si="3"/>
        <v>4.5093999999608059</v>
      </c>
      <c r="H87" s="36">
        <f>(2.5*ABS(A87)+0.1*1000)/ABS(A87)+12*(ABS(A87)/1000)^2</f>
        <v>5.7</v>
      </c>
      <c r="I87" s="42">
        <f t="shared" si="5"/>
        <v>38.541880341545351</v>
      </c>
      <c r="J87" s="43">
        <v>-4.2590508543551987E-2</v>
      </c>
      <c r="K87" t="s">
        <v>133</v>
      </c>
    </row>
    <row r="88" spans="1:11" ht="14.25" customHeight="1">
      <c r="A88" s="39">
        <v>-1000</v>
      </c>
      <c r="B88" s="48" t="s">
        <v>131</v>
      </c>
      <c r="C88" s="4">
        <v>-1000.004816</v>
      </c>
      <c r="D88" s="45">
        <f t="shared" si="10"/>
        <v>5.5</v>
      </c>
      <c r="E88" s="39">
        <f t="shared" si="1"/>
        <v>-999.97990000000004</v>
      </c>
      <c r="F88" s="39">
        <f t="shared" si="2"/>
        <v>-1000.0201</v>
      </c>
      <c r="G88" s="45">
        <f t="shared" si="3"/>
        <v>4.8160000000052605</v>
      </c>
      <c r="H88" s="45">
        <f>(2.5*ABS(A88)+0.1*1000)/ABS(A88)+12*(ABS(A88)/1000)^2</f>
        <v>14.6</v>
      </c>
      <c r="I88" s="45">
        <f t="shared" si="5"/>
        <v>23.960199005001293</v>
      </c>
      <c r="J88" s="46">
        <v>-0.31490076105538928</v>
      </c>
      <c r="K88" t="s">
        <v>121</v>
      </c>
    </row>
    <row r="89" spans="1:11" ht="14.25" customHeight="1">
      <c r="A89" s="36">
        <v>100</v>
      </c>
      <c r="B89" s="47" t="s">
        <v>131</v>
      </c>
      <c r="C89" s="10">
        <v>100.0002156</v>
      </c>
      <c r="D89" s="42">
        <f t="shared" si="10"/>
        <v>10</v>
      </c>
      <c r="E89" s="36">
        <f t="shared" si="1"/>
        <v>99.998649999999998</v>
      </c>
      <c r="F89" s="36">
        <f t="shared" si="2"/>
        <v>100.00135</v>
      </c>
      <c r="G89" s="42">
        <f t="shared" si="3"/>
        <v>2.1560000000420132</v>
      </c>
      <c r="H89" s="36">
        <f>(2.5*ABS(A89)+0.1*1000)/ABS(A89)</f>
        <v>3.5</v>
      </c>
      <c r="I89" s="42">
        <f t="shared" si="5"/>
        <v>15.970370370681579</v>
      </c>
      <c r="J89" s="43">
        <v>8.8238753047492319E-2</v>
      </c>
      <c r="K89" t="s">
        <v>130</v>
      </c>
    </row>
    <row r="90" spans="1:11" ht="14.25" customHeight="1">
      <c r="A90" s="39">
        <v>200</v>
      </c>
      <c r="B90" s="48" t="s">
        <v>131</v>
      </c>
      <c r="C90" s="4">
        <v>200.00031730000001</v>
      </c>
      <c r="D90" s="45">
        <f t="shared" si="10"/>
        <v>7.5</v>
      </c>
      <c r="E90" s="39">
        <f t="shared" si="1"/>
        <v>199.997804</v>
      </c>
      <c r="F90" s="39">
        <f t="shared" si="2"/>
        <v>200.002196</v>
      </c>
      <c r="G90" s="45">
        <f t="shared" si="3"/>
        <v>1.5865000000303553</v>
      </c>
      <c r="H90" s="45">
        <f>(2.5*ABS(A90)+0.1*1000)/ABS(A90)+12*(ABS(A90)/1000)^2</f>
        <v>3.48</v>
      </c>
      <c r="I90" s="45">
        <f t="shared" si="5"/>
        <v>14.448998178782835</v>
      </c>
      <c r="J90" s="46">
        <v>4.4327545204890767E-2</v>
      </c>
      <c r="K90" t="s">
        <v>132</v>
      </c>
    </row>
    <row r="91" spans="1:11" ht="14.25" customHeight="1">
      <c r="A91" s="36">
        <v>500</v>
      </c>
      <c r="B91" s="47" t="s">
        <v>131</v>
      </c>
      <c r="C91" s="10">
        <v>500.0025139</v>
      </c>
      <c r="D91" s="42">
        <f t="shared" si="10"/>
        <v>6</v>
      </c>
      <c r="E91" s="36">
        <f t="shared" si="1"/>
        <v>499.99414999999999</v>
      </c>
      <c r="F91" s="36">
        <f t="shared" si="2"/>
        <v>500.00585000000001</v>
      </c>
      <c r="G91" s="42">
        <f t="shared" si="3"/>
        <v>5.0277999999934764</v>
      </c>
      <c r="H91" s="36">
        <f>(2.5*ABS(A91)+0.1*1000)/ABS(A91)+12*(ABS(A91)/1000)^2</f>
        <v>5.7</v>
      </c>
      <c r="I91" s="42">
        <f t="shared" si="5"/>
        <v>42.972649572593816</v>
      </c>
      <c r="J91" s="43">
        <v>0.13303390475679711</v>
      </c>
      <c r="K91" t="s">
        <v>133</v>
      </c>
    </row>
    <row r="92" spans="1:11" ht="14.25" customHeight="1">
      <c r="A92" s="39">
        <v>1000</v>
      </c>
      <c r="B92" s="48" t="s">
        <v>131</v>
      </c>
      <c r="C92" s="4">
        <v>1000.004914</v>
      </c>
      <c r="D92" s="45">
        <f t="shared" si="10"/>
        <v>5.5</v>
      </c>
      <c r="E92" s="39">
        <f t="shared" si="1"/>
        <v>999.97990000000004</v>
      </c>
      <c r="F92" s="39">
        <f t="shared" si="2"/>
        <v>1000.0201</v>
      </c>
      <c r="G92" s="45">
        <f t="shared" si="3"/>
        <v>4.913999999985208</v>
      </c>
      <c r="H92" s="45">
        <f>(2.5*ABS(A92)+0.1*1000)/ABS(A92)+12*(ABS(A92)/1000)^2</f>
        <v>14.6</v>
      </c>
      <c r="I92" s="45">
        <f t="shared" si="5"/>
        <v>24.447761193956257</v>
      </c>
      <c r="J92" s="46">
        <v>0.24586483484842581</v>
      </c>
      <c r="K92" t="s">
        <v>121</v>
      </c>
    </row>
    <row r="94" spans="1:11" ht="16.5" customHeight="1" thickBot="1">
      <c r="A94" s="8"/>
      <c r="B94" s="8"/>
      <c r="C94" s="8"/>
      <c r="D94" s="9"/>
      <c r="E94" s="35" t="s">
        <v>134</v>
      </c>
      <c r="F94" s="8"/>
      <c r="G94" s="8"/>
      <c r="H94" s="8"/>
      <c r="I94" s="8"/>
    </row>
    <row r="95" spans="1:11" ht="25.5" customHeight="1">
      <c r="A95" s="16" t="s">
        <v>135</v>
      </c>
      <c r="B95" s="16" t="s">
        <v>136</v>
      </c>
      <c r="C95" s="16" t="s">
        <v>137</v>
      </c>
      <c r="D95" s="17" t="s">
        <v>138</v>
      </c>
      <c r="E95" s="16" t="s">
        <v>139</v>
      </c>
      <c r="F95" s="16" t="s">
        <v>140</v>
      </c>
      <c r="G95" s="17" t="s">
        <v>141</v>
      </c>
      <c r="H95" s="17" t="s">
        <v>142</v>
      </c>
      <c r="I95" s="17" t="s">
        <v>97</v>
      </c>
      <c r="J95" s="16" t="s">
        <v>143</v>
      </c>
    </row>
    <row r="96" spans="1:11" ht="14.25" customHeight="1">
      <c r="A96" s="36" t="s">
        <v>144</v>
      </c>
      <c r="B96" s="49">
        <v>0.99981569999999997</v>
      </c>
      <c r="C96" s="36">
        <v>0.99978424290000001</v>
      </c>
      <c r="D96" s="36">
        <v>85</v>
      </c>
      <c r="E96" s="36">
        <f t="shared" ref="E96:E114" si="11">B96-(D96+H96)*B96/1000000</f>
        <v>0.99969572303733012</v>
      </c>
      <c r="F96" s="36">
        <f t="shared" ref="F96:F114" si="12">B96+(D96+H96)*B96/1000000</f>
        <v>0.99993567696266983</v>
      </c>
      <c r="G96" s="42">
        <f t="shared" ref="G96:G114" si="13">(C96-B96)*1000000/B96</f>
        <v>-31.46289861217949</v>
      </c>
      <c r="H96" s="42">
        <f>(5*B96+3*10)/1</f>
        <v>34.999078499999996</v>
      </c>
      <c r="I96" s="42">
        <f>G96*100/(D96+H96)</f>
        <v>-26.21928351906427</v>
      </c>
      <c r="J96" s="36">
        <v>10.584399457570941</v>
      </c>
      <c r="K96" t="s">
        <v>145</v>
      </c>
    </row>
    <row r="97" spans="1:11" ht="14.25" customHeight="1">
      <c r="A97" s="39" t="s">
        <v>146</v>
      </c>
      <c r="B97" s="50">
        <v>1.8998868</v>
      </c>
      <c r="C97" s="39">
        <v>1.8998019850000001</v>
      </c>
      <c r="D97" s="39">
        <v>85</v>
      </c>
      <c r="E97" s="48">
        <f t="shared" si="11"/>
        <v>1.8996858125413347</v>
      </c>
      <c r="F97" s="48">
        <f t="shared" si="12"/>
        <v>1.9000877874586652</v>
      </c>
      <c r="G97" s="45">
        <f t="shared" si="13"/>
        <v>-44.642133415477609</v>
      </c>
      <c r="H97" s="45">
        <f>(5*B97+3*10)/1.9</f>
        <v>20.789175789473685</v>
      </c>
      <c r="I97" s="45">
        <f>G97*100/(D98+H97)</f>
        <v>-101.94787321438683</v>
      </c>
      <c r="J97" s="39">
        <v>2.5379622603752292</v>
      </c>
      <c r="K97" t="s">
        <v>145</v>
      </c>
    </row>
    <row r="98" spans="1:11" ht="14.25" customHeight="1">
      <c r="A98" s="36" t="s">
        <v>147</v>
      </c>
      <c r="B98" s="49">
        <v>10.000322000000001</v>
      </c>
      <c r="C98" s="36">
        <v>10.000261099999999</v>
      </c>
      <c r="D98" s="36">
        <v>23</v>
      </c>
      <c r="E98" s="36">
        <f t="shared" si="11"/>
        <v>10.000011988407948</v>
      </c>
      <c r="F98" s="36">
        <f t="shared" si="12"/>
        <v>10.000632011592053</v>
      </c>
      <c r="G98" s="42">
        <f t="shared" si="13"/>
        <v>-6.0898039084282081</v>
      </c>
      <c r="H98" s="42">
        <f>(5*B98+3*10)/10</f>
        <v>8.0001610000000003</v>
      </c>
      <c r="I98" s="42">
        <f>G98*100/(D98+H98)</f>
        <v>-19.644426712584522</v>
      </c>
      <c r="J98" s="36">
        <v>0.51897451405773731</v>
      </c>
      <c r="K98" t="s">
        <v>148</v>
      </c>
    </row>
    <row r="99" spans="1:11" ht="14.25" customHeight="1">
      <c r="A99" s="39" t="s">
        <v>149</v>
      </c>
      <c r="B99" s="44">
        <v>19.000005999999999</v>
      </c>
      <c r="C99" s="39">
        <v>18.99995517</v>
      </c>
      <c r="D99" s="39">
        <v>23</v>
      </c>
      <c r="E99" s="48">
        <f t="shared" si="11"/>
        <v>18.999211999731262</v>
      </c>
      <c r="F99" s="48">
        <f t="shared" si="12"/>
        <v>19.000800000268736</v>
      </c>
      <c r="G99" s="45">
        <f t="shared" si="13"/>
        <v>-2.6752623130371678</v>
      </c>
      <c r="H99" s="45">
        <f>(3*B99+3*100)/19</f>
        <v>18.789474631578948</v>
      </c>
      <c r="I99" s="45">
        <f>G99*100/(D100+H99)</f>
        <v>-9.2925013299919463</v>
      </c>
      <c r="J99" s="39">
        <v>2.8250329812254882</v>
      </c>
      <c r="K99" t="s">
        <v>148</v>
      </c>
    </row>
    <row r="100" spans="1:11" ht="14.25" customHeight="1">
      <c r="A100" s="36" t="s">
        <v>150</v>
      </c>
      <c r="B100" s="51">
        <v>100.00319</v>
      </c>
      <c r="C100" s="36">
        <v>100.00324740000001</v>
      </c>
      <c r="D100" s="36">
        <v>10</v>
      </c>
      <c r="E100" s="36">
        <f t="shared" si="11"/>
        <v>100.0015899393897</v>
      </c>
      <c r="F100" s="36">
        <f t="shared" si="12"/>
        <v>100.0047900606103</v>
      </c>
      <c r="G100" s="42">
        <f t="shared" si="13"/>
        <v>0.57398169001280674</v>
      </c>
      <c r="H100" s="42">
        <f>(3*B100+3*100)/100</f>
        <v>6.0000956999999993</v>
      </c>
      <c r="I100" s="42">
        <f>G100*100/(D100+H100)</f>
        <v>3.5873641056584855</v>
      </c>
      <c r="J100" s="36">
        <v>0.46930708441547159</v>
      </c>
      <c r="K100" t="s">
        <v>118</v>
      </c>
    </row>
    <row r="101" spans="1:11" ht="14.25" customHeight="1">
      <c r="A101" s="39" t="s">
        <v>151</v>
      </c>
      <c r="B101" s="52">
        <v>189.99822</v>
      </c>
      <c r="C101" s="39">
        <v>189.9982206</v>
      </c>
      <c r="D101" s="39">
        <v>10</v>
      </c>
      <c r="E101" s="48">
        <f t="shared" si="11"/>
        <v>189.99394004365681</v>
      </c>
      <c r="F101" s="48">
        <f t="shared" si="12"/>
        <v>190.0024999563432</v>
      </c>
      <c r="G101" s="45">
        <f t="shared" si="13"/>
        <v>3.1579242837159408E-3</v>
      </c>
      <c r="H101" s="45">
        <f>(2*B101+0.2*10000)/190</f>
        <v>12.526297052631579</v>
      </c>
      <c r="I101" s="45">
        <f>G101*100/(D102+H101)</f>
        <v>1.5384773374460538E-2</v>
      </c>
      <c r="J101" s="39">
        <v>0.2315129901918051</v>
      </c>
      <c r="K101" t="s">
        <v>118</v>
      </c>
    </row>
    <row r="102" spans="1:11" ht="14.25" customHeight="1">
      <c r="A102" s="36" t="s">
        <v>152</v>
      </c>
      <c r="B102" s="51">
        <v>1000.0099</v>
      </c>
      <c r="C102" s="36">
        <v>1000.009453</v>
      </c>
      <c r="D102" s="36">
        <v>8</v>
      </c>
      <c r="E102" s="36">
        <f t="shared" si="11"/>
        <v>999.99969987921986</v>
      </c>
      <c r="F102" s="36">
        <f t="shared" si="12"/>
        <v>1000.0201001207802</v>
      </c>
      <c r="G102" s="42">
        <f t="shared" si="13"/>
        <v>-0.44699557475211182</v>
      </c>
      <c r="H102" s="42">
        <f>(2*B102+0.2*1000)/1000</f>
        <v>2.2000198000000002</v>
      </c>
      <c r="I102" s="42">
        <f>G102*100/(D102+H102)</f>
        <v>-4.3823010495735684</v>
      </c>
      <c r="J102" s="36">
        <v>5.8106631390934277E-2</v>
      </c>
      <c r="K102" t="s">
        <v>153</v>
      </c>
    </row>
    <row r="103" spans="1:11" ht="14.25" customHeight="1">
      <c r="A103" s="39" t="s">
        <v>154</v>
      </c>
      <c r="B103" s="53">
        <v>1900.0238999999999</v>
      </c>
      <c r="C103" s="39">
        <v>1900.0221819999999</v>
      </c>
      <c r="D103" s="39">
        <v>8</v>
      </c>
      <c r="E103" s="48">
        <f t="shared" si="11"/>
        <v>1900.0028996880415</v>
      </c>
      <c r="F103" s="48">
        <f t="shared" si="12"/>
        <v>1900.0449003119584</v>
      </c>
      <c r="G103" s="45">
        <f t="shared" si="13"/>
        <v>-0.90419915243306515</v>
      </c>
      <c r="H103" s="45">
        <f>(2*B103+0.2*10000)/1900</f>
        <v>3.0526567368421054</v>
      </c>
      <c r="I103" s="45">
        <f>G103*100/(D104+H103)</f>
        <v>-8.1808308532651228</v>
      </c>
      <c r="J103" s="39">
        <v>0.27709591909503939</v>
      </c>
      <c r="K103" t="s">
        <v>153</v>
      </c>
    </row>
    <row r="104" spans="1:11" ht="14.25" customHeight="1">
      <c r="A104" s="36" t="s">
        <v>155</v>
      </c>
      <c r="B104" s="54">
        <v>9999.7860000000001</v>
      </c>
      <c r="C104" s="36">
        <v>9999.7541999999994</v>
      </c>
      <c r="D104" s="36">
        <v>8</v>
      </c>
      <c r="E104" s="36">
        <f t="shared" si="11"/>
        <v>9999.6840026107911</v>
      </c>
      <c r="F104" s="36">
        <f t="shared" si="12"/>
        <v>9999.887997389209</v>
      </c>
      <c r="G104" s="42">
        <f t="shared" si="13"/>
        <v>-3.18006805352212</v>
      </c>
      <c r="H104" s="42">
        <f>(2*B104+0.2*10000)/10000</f>
        <v>2.1999572000000001</v>
      </c>
      <c r="I104" s="42">
        <f>G104*100/(D104+H104)</f>
        <v>-31.177268601892955</v>
      </c>
      <c r="J104" s="36">
        <v>5.973404128750371E-2</v>
      </c>
      <c r="K104" t="s">
        <v>153</v>
      </c>
    </row>
    <row r="105" spans="1:11" ht="14.25" customHeight="1">
      <c r="A105" s="39" t="s">
        <v>156</v>
      </c>
      <c r="B105" s="53">
        <v>18999.392</v>
      </c>
      <c r="C105" s="39">
        <v>18999.370999999999</v>
      </c>
      <c r="D105" s="39">
        <v>9</v>
      </c>
      <c r="E105" s="48">
        <f t="shared" si="11"/>
        <v>18999.163008543961</v>
      </c>
      <c r="F105" s="48">
        <f t="shared" si="12"/>
        <v>18999.620991456039</v>
      </c>
      <c r="G105" s="45">
        <f t="shared" si="13"/>
        <v>-1.1052985274813154</v>
      </c>
      <c r="H105" s="45">
        <f>(2*B105+0.2*100000)/19000</f>
        <v>3.0525675789473685</v>
      </c>
      <c r="I105" s="45">
        <f>G105*100/(D106+H105)</f>
        <v>-9.1706478328483154</v>
      </c>
      <c r="J105" s="39">
        <v>0.13867684426548721</v>
      </c>
      <c r="K105" t="s">
        <v>157</v>
      </c>
    </row>
    <row r="106" spans="1:11" ht="14.25" customHeight="1">
      <c r="A106" s="36" t="s">
        <v>158</v>
      </c>
      <c r="B106" s="43">
        <v>99994.64</v>
      </c>
      <c r="C106" s="36">
        <v>99993.588229999994</v>
      </c>
      <c r="D106" s="36">
        <v>9</v>
      </c>
      <c r="E106" s="36">
        <f t="shared" si="11"/>
        <v>99993.52007075143</v>
      </c>
      <c r="F106" s="36">
        <f t="shared" si="12"/>
        <v>99995.759929248568</v>
      </c>
      <c r="G106" s="42">
        <f t="shared" si="13"/>
        <v>-10.518263778993456</v>
      </c>
      <c r="H106" s="42">
        <f>(2*B106+0.2*100000)/100000</f>
        <v>2.1998928000000002</v>
      </c>
      <c r="I106" s="42">
        <f>G106*100/(D106+H106)</f>
        <v>-93.913968346138589</v>
      </c>
      <c r="J106" s="36">
        <v>0.1083757289158712</v>
      </c>
      <c r="K106" t="s">
        <v>157</v>
      </c>
    </row>
    <row r="107" spans="1:11" ht="14.25" customHeight="1">
      <c r="A107" s="39" t="s">
        <v>159</v>
      </c>
      <c r="B107" s="46">
        <v>189988.81</v>
      </c>
      <c r="C107" s="39">
        <v>189985.90820000001</v>
      </c>
      <c r="D107" s="39">
        <v>9</v>
      </c>
      <c r="E107" s="48">
        <f t="shared" si="11"/>
        <v>189984.20038339816</v>
      </c>
      <c r="F107" s="48">
        <f t="shared" si="12"/>
        <v>189993.41961660184</v>
      </c>
      <c r="G107" s="45">
        <f t="shared" si="13"/>
        <v>-15.273531109502519</v>
      </c>
      <c r="H107" s="45">
        <f>(10*B107+1*1000000)/190000</f>
        <v>15.262568947368422</v>
      </c>
      <c r="I107" s="45">
        <f>G107*100/(D108+H107)</f>
        <v>-48.855649499617314</v>
      </c>
      <c r="J107" s="39">
        <v>0.12995141192655019</v>
      </c>
      <c r="K107" t="s">
        <v>157</v>
      </c>
    </row>
    <row r="108" spans="1:11" ht="14.25" customHeight="1">
      <c r="A108" s="36" t="s">
        <v>160</v>
      </c>
      <c r="B108" s="43">
        <v>999980.6</v>
      </c>
      <c r="C108" s="36">
        <v>999891.5895</v>
      </c>
      <c r="D108" s="36">
        <v>16</v>
      </c>
      <c r="E108" s="36">
        <f t="shared" si="11"/>
        <v>999953.60071779625</v>
      </c>
      <c r="F108" s="36">
        <f t="shared" si="12"/>
        <v>1000007.5992822037</v>
      </c>
      <c r="G108" s="42">
        <f t="shared" si="13"/>
        <v>-89.01222683717549</v>
      </c>
      <c r="H108" s="42">
        <f>(10*B108+1*1000000)/1000000</f>
        <v>10.999806</v>
      </c>
      <c r="I108" s="42">
        <f>G108*100/(D108+H108)</f>
        <v>-329.67728300409084</v>
      </c>
      <c r="J108" s="36">
        <v>8.6781068745664325E-2</v>
      </c>
      <c r="K108" t="s">
        <v>161</v>
      </c>
    </row>
    <row r="109" spans="1:11" ht="14.25" customHeight="1">
      <c r="A109" s="39" t="s">
        <v>162</v>
      </c>
      <c r="B109" s="45">
        <v>1899967</v>
      </c>
      <c r="C109" s="39">
        <v>1899685.929</v>
      </c>
      <c r="D109" s="39">
        <v>17</v>
      </c>
      <c r="E109" s="48">
        <f t="shared" si="11"/>
        <v>1899789.7047293924</v>
      </c>
      <c r="F109" s="48">
        <f t="shared" si="12"/>
        <v>1900144.2952706076</v>
      </c>
      <c r="G109" s="45">
        <f t="shared" si="13"/>
        <v>-147.93467465487365</v>
      </c>
      <c r="H109" s="45">
        <f>(50*B109+5*10000000)/1900000</f>
        <v>76.314921052631576</v>
      </c>
      <c r="I109" s="45">
        <f>G109*100/(D110+H109)</f>
        <v>-135.32889493068191</v>
      </c>
      <c r="J109" s="39">
        <v>0.51989911038478276</v>
      </c>
      <c r="K109" t="s">
        <v>163</v>
      </c>
    </row>
    <row r="110" spans="1:11" ht="14.25" customHeight="1">
      <c r="A110" s="36" t="s">
        <v>164</v>
      </c>
      <c r="B110" s="42">
        <v>9999029</v>
      </c>
      <c r="C110" s="36">
        <v>9990677.4079999998</v>
      </c>
      <c r="D110" s="36">
        <v>33</v>
      </c>
      <c r="E110" s="36">
        <f t="shared" si="11"/>
        <v>9998149.1339932866</v>
      </c>
      <c r="F110" s="36">
        <f t="shared" si="12"/>
        <v>9999908.8660067134</v>
      </c>
      <c r="G110" s="42">
        <f t="shared" si="13"/>
        <v>-835.24030183332593</v>
      </c>
      <c r="H110" s="42">
        <f>(50*B110+5*10000000)/10000000</f>
        <v>54.995145000000001</v>
      </c>
      <c r="I110" s="42">
        <f>G110*100/(D110+H110)</f>
        <v>-949.18907382143175</v>
      </c>
      <c r="J110" s="36">
        <v>1.008247183351435</v>
      </c>
      <c r="K110" t="s">
        <v>165</v>
      </c>
    </row>
    <row r="111" spans="1:11" ht="14.25" customHeight="1">
      <c r="A111" s="39" t="s">
        <v>166</v>
      </c>
      <c r="B111" s="55">
        <v>18998410</v>
      </c>
      <c r="C111" s="39">
        <v>18971204.199999999</v>
      </c>
      <c r="D111" s="39">
        <v>43</v>
      </c>
      <c r="E111" s="48">
        <f t="shared" si="11"/>
        <v>18987094.741987683</v>
      </c>
      <c r="F111" s="48">
        <f t="shared" si="12"/>
        <v>19009725.258012317</v>
      </c>
      <c r="G111" s="45">
        <f t="shared" si="13"/>
        <v>-1432.0040466544697</v>
      </c>
      <c r="H111" s="45">
        <f>(500*B111+10*100000000)/19000000</f>
        <v>552.58973684210525</v>
      </c>
      <c r="I111" s="45">
        <f>G111*100/(D112+H111)</f>
        <v>-219.43404344419599</v>
      </c>
      <c r="J111" s="39">
        <v>2.5712573126921692</v>
      </c>
      <c r="K111" t="s">
        <v>167</v>
      </c>
    </row>
    <row r="112" spans="1:11" ht="14.25" customHeight="1">
      <c r="A112" s="36" t="s">
        <v>168</v>
      </c>
      <c r="B112" s="56">
        <v>100007070</v>
      </c>
      <c r="C112" s="36">
        <v>99988404.959999993</v>
      </c>
      <c r="D112" s="36">
        <v>100</v>
      </c>
      <c r="E112" s="36">
        <f t="shared" si="11"/>
        <v>99946062.152050078</v>
      </c>
      <c r="F112" s="36">
        <f t="shared" si="12"/>
        <v>100068077.84794992</v>
      </c>
      <c r="G112" s="42">
        <f t="shared" si="13"/>
        <v>-186.63720474968977</v>
      </c>
      <c r="H112" s="42">
        <f>(500*B112+10*100000000)/100000000</f>
        <v>510.03534999999999</v>
      </c>
      <c r="I112" s="42">
        <f>G112*100/(D112+H112)</f>
        <v>-30.594490097941009</v>
      </c>
      <c r="J112" s="36">
        <v>1.499841424520139</v>
      </c>
      <c r="K112" t="s">
        <v>169</v>
      </c>
    </row>
    <row r="113" spans="1:11" ht="14.25" customHeight="1">
      <c r="A113" s="39" t="s">
        <v>170</v>
      </c>
      <c r="B113" s="55">
        <v>18998410</v>
      </c>
      <c r="C113" s="39">
        <v>18998107.940000001</v>
      </c>
      <c r="D113" s="39">
        <v>43</v>
      </c>
      <c r="E113" s="48">
        <f t="shared" si="11"/>
        <v>18987094.741987683</v>
      </c>
      <c r="F113" s="48">
        <f t="shared" si="12"/>
        <v>19009725.258012317</v>
      </c>
      <c r="G113" s="45">
        <f t="shared" si="13"/>
        <v>-15.899225250884621</v>
      </c>
      <c r="H113" s="45">
        <f>(500*B113+10*100000000)/19000000</f>
        <v>552.58973684210525</v>
      </c>
      <c r="I113" s="45">
        <f>G113*100/(D114+H113)</f>
        <v>-2.7150792185368489</v>
      </c>
      <c r="J113" s="39">
        <v>0.42148990496352018</v>
      </c>
      <c r="K113" t="s">
        <v>167</v>
      </c>
    </row>
    <row r="114" spans="1:11" ht="14.25" customHeight="1">
      <c r="A114" s="36" t="s">
        <v>171</v>
      </c>
      <c r="B114" s="42">
        <v>9999029</v>
      </c>
      <c r="C114" s="36">
        <v>9998826.2139999997</v>
      </c>
      <c r="D114" s="36">
        <v>33</v>
      </c>
      <c r="E114" s="36">
        <f t="shared" si="11"/>
        <v>9998149.1339932866</v>
      </c>
      <c r="F114" s="36">
        <f t="shared" si="12"/>
        <v>9999908.8660067134</v>
      </c>
      <c r="G114" s="42">
        <f t="shared" si="13"/>
        <v>-20.280569243304818</v>
      </c>
      <c r="H114" s="42">
        <f>(50*B114+5*10000000)/10000000</f>
        <v>54.995145000000001</v>
      </c>
      <c r="I114" s="42">
        <f>G114*100/(D114+H114)</f>
        <v>-23.04737294688794</v>
      </c>
      <c r="J114" s="36">
        <v>0.20989986324100621</v>
      </c>
      <c r="K114" t="s">
        <v>165</v>
      </c>
    </row>
    <row r="115" spans="1:11" ht="14.25" customHeight="1">
      <c r="A115" s="31"/>
    </row>
    <row r="116" spans="1:11" ht="25.5" customHeight="1">
      <c r="A116" s="18" t="s">
        <v>172</v>
      </c>
      <c r="B116" s="19" t="s">
        <v>173</v>
      </c>
      <c r="C116" s="18" t="s">
        <v>174</v>
      </c>
      <c r="D116" s="18" t="s">
        <v>175</v>
      </c>
      <c r="E116" s="18" t="s">
        <v>176</v>
      </c>
      <c r="F116" s="18" t="s">
        <v>177</v>
      </c>
      <c r="G116" s="19" t="s">
        <v>178</v>
      </c>
      <c r="H116" s="18" t="s">
        <v>179</v>
      </c>
      <c r="I116" s="18" t="s">
        <v>97</v>
      </c>
      <c r="J116" s="18" t="s">
        <v>180</v>
      </c>
    </row>
    <row r="117" spans="1:11" ht="14.25" customHeight="1">
      <c r="A117" s="36" t="s">
        <v>181</v>
      </c>
      <c r="B117" s="36" t="s">
        <v>147</v>
      </c>
      <c r="C117" s="10">
        <v>4.8443707279999999E-5</v>
      </c>
      <c r="D117" s="11">
        <v>5.0000000000000002E-5</v>
      </c>
      <c r="E117" s="11">
        <f t="shared" ref="E117:E125" si="14">-1*D117</f>
        <v>-5.0000000000000002E-5</v>
      </c>
      <c r="F117" s="11">
        <f t="shared" ref="F117:F125" si="15">D117</f>
        <v>5.0000000000000002E-5</v>
      </c>
      <c r="G117" s="36" t="s">
        <v>100</v>
      </c>
      <c r="H117" s="11">
        <v>7.9999999999999996E-6</v>
      </c>
      <c r="I117" s="36" t="str">
        <f t="shared" ref="I117:I125" si="16">IF(AND(C117&gt;E117,C117&lt;F117),"PASS","FAIL")</f>
        <v>PASS</v>
      </c>
      <c r="J117" s="10">
        <v>9.6489832143194752E-6</v>
      </c>
      <c r="K117" t="s">
        <v>182</v>
      </c>
    </row>
    <row r="118" spans="1:11" ht="14.25" customHeight="1">
      <c r="A118" s="39" t="s">
        <v>181</v>
      </c>
      <c r="B118" s="48" t="s">
        <v>150</v>
      </c>
      <c r="C118" s="4">
        <v>5.1131848899999997E-4</v>
      </c>
      <c r="D118" s="12">
        <v>5.5000000000000003E-4</v>
      </c>
      <c r="E118" s="12">
        <f t="shared" si="14"/>
        <v>-5.5000000000000003E-4</v>
      </c>
      <c r="F118" s="12">
        <f t="shared" si="15"/>
        <v>5.5000000000000003E-4</v>
      </c>
      <c r="G118" s="39" t="s">
        <v>100</v>
      </c>
      <c r="H118" s="12">
        <v>2.2000000000000001E-6</v>
      </c>
      <c r="I118" s="39" t="str">
        <f t="shared" si="16"/>
        <v>PASS</v>
      </c>
      <c r="J118" s="4">
        <v>1.026392064440066E-4</v>
      </c>
      <c r="K118" t="s">
        <v>182</v>
      </c>
    </row>
    <row r="119" spans="1:11" ht="14.25" customHeight="1">
      <c r="A119" s="36" t="s">
        <v>181</v>
      </c>
      <c r="B119" s="47" t="s">
        <v>183</v>
      </c>
      <c r="C119" s="10">
        <v>5.9651419090000005E-4</v>
      </c>
      <c r="D119" s="11">
        <v>5.4999999999999997E-3</v>
      </c>
      <c r="E119" s="11">
        <f t="shared" si="14"/>
        <v>-5.4999999999999997E-3</v>
      </c>
      <c r="F119" s="11">
        <f t="shared" si="15"/>
        <v>5.4999999999999997E-3</v>
      </c>
      <c r="G119" s="36" t="s">
        <v>100</v>
      </c>
      <c r="H119" s="11">
        <v>2.2000000000000001E-6</v>
      </c>
      <c r="I119" s="36" t="str">
        <f t="shared" si="16"/>
        <v>PASS</v>
      </c>
      <c r="J119" s="10">
        <v>1.251922120949656E-4</v>
      </c>
      <c r="K119" t="s">
        <v>182</v>
      </c>
    </row>
    <row r="120" spans="1:11" ht="14.25" customHeight="1">
      <c r="A120" s="39" t="s">
        <v>181</v>
      </c>
      <c r="B120" s="48" t="s">
        <v>184</v>
      </c>
      <c r="C120" s="4">
        <v>6.0384296150000003E-3</v>
      </c>
      <c r="D120" s="12">
        <v>5.05</v>
      </c>
      <c r="E120" s="12">
        <f t="shared" si="14"/>
        <v>-5.05</v>
      </c>
      <c r="F120" s="12">
        <f t="shared" si="15"/>
        <v>5.05</v>
      </c>
      <c r="G120" s="39" t="s">
        <v>100</v>
      </c>
      <c r="H120" s="12">
        <v>2.2000000000000001E-6</v>
      </c>
      <c r="I120" s="39" t="str">
        <f t="shared" si="16"/>
        <v>PASS</v>
      </c>
      <c r="J120" s="4">
        <v>6.366444850277659E-4</v>
      </c>
      <c r="K120" t="s">
        <v>182</v>
      </c>
    </row>
    <row r="121" spans="1:11" ht="14.25" customHeight="1">
      <c r="A121" s="36" t="s">
        <v>181</v>
      </c>
      <c r="B121" s="47" t="s">
        <v>185</v>
      </c>
      <c r="C121" s="10">
        <v>2.7306598889999999E-2</v>
      </c>
      <c r="D121" s="11">
        <v>0.55000000000000004</v>
      </c>
      <c r="E121" s="11">
        <f t="shared" si="14"/>
        <v>-0.55000000000000004</v>
      </c>
      <c r="F121" s="11">
        <f t="shared" si="15"/>
        <v>0.55000000000000004</v>
      </c>
      <c r="G121" s="36" t="s">
        <v>100</v>
      </c>
      <c r="H121" s="11">
        <v>2.2000000000000001E-6</v>
      </c>
      <c r="I121" s="36" t="str">
        <f t="shared" si="16"/>
        <v>PASS</v>
      </c>
      <c r="J121" s="10">
        <v>2.210806314530152E-3</v>
      </c>
      <c r="K121" t="s">
        <v>182</v>
      </c>
    </row>
    <row r="122" spans="1:11" ht="14.25" customHeight="1">
      <c r="A122" s="39" t="s">
        <v>181</v>
      </c>
      <c r="B122" s="48" t="s">
        <v>160</v>
      </c>
      <c r="C122" s="4">
        <v>0.2156071816</v>
      </c>
      <c r="D122" s="39">
        <v>5.5</v>
      </c>
      <c r="E122" s="12">
        <f t="shared" si="14"/>
        <v>-5.5</v>
      </c>
      <c r="F122" s="12">
        <f t="shared" si="15"/>
        <v>5.5</v>
      </c>
      <c r="G122" s="39" t="s">
        <v>100</v>
      </c>
      <c r="H122" s="12">
        <v>2.2000000000000001E-6</v>
      </c>
      <c r="I122" s="39" t="str">
        <f t="shared" si="16"/>
        <v>PASS</v>
      </c>
      <c r="J122" s="4">
        <v>3.2012223619645577E-2</v>
      </c>
      <c r="K122" t="s">
        <v>182</v>
      </c>
    </row>
    <row r="123" spans="1:11" ht="14.25" customHeight="1">
      <c r="A123" s="36" t="s">
        <v>181</v>
      </c>
      <c r="B123" s="47" t="s">
        <v>186</v>
      </c>
      <c r="C123" s="10">
        <v>1.7247822960000001</v>
      </c>
      <c r="D123" s="11">
        <v>55</v>
      </c>
      <c r="E123" s="11">
        <f t="shared" si="14"/>
        <v>-55</v>
      </c>
      <c r="F123" s="11">
        <f t="shared" si="15"/>
        <v>55</v>
      </c>
      <c r="G123" s="36" t="s">
        <v>100</v>
      </c>
      <c r="H123" s="11">
        <v>2.2000000000000001E-6</v>
      </c>
      <c r="I123" s="36" t="str">
        <f t="shared" si="16"/>
        <v>PASS</v>
      </c>
      <c r="J123" s="10">
        <v>0.32807625264357942</v>
      </c>
      <c r="K123" t="s">
        <v>182</v>
      </c>
    </row>
    <row r="124" spans="1:11" ht="14.25" customHeight="1">
      <c r="A124" s="39" t="s">
        <v>181</v>
      </c>
      <c r="B124" s="48" t="s">
        <v>187</v>
      </c>
      <c r="C124" s="4">
        <v>12.79215173</v>
      </c>
      <c r="D124" s="12">
        <v>550</v>
      </c>
      <c r="E124" s="12">
        <f t="shared" si="14"/>
        <v>-550</v>
      </c>
      <c r="F124" s="12">
        <f t="shared" si="15"/>
        <v>550</v>
      </c>
      <c r="G124" s="39" t="s">
        <v>100</v>
      </c>
      <c r="H124" s="12">
        <v>2.2000000000000001E-6</v>
      </c>
      <c r="I124" s="39" t="str">
        <f t="shared" si="16"/>
        <v>PASS</v>
      </c>
      <c r="J124" s="4">
        <v>0.1694958915135559</v>
      </c>
      <c r="K124" t="s">
        <v>182</v>
      </c>
    </row>
    <row r="125" spans="1:11" ht="14.25" customHeight="1">
      <c r="A125" s="36" t="s">
        <v>181</v>
      </c>
      <c r="B125" s="47" t="s">
        <v>188</v>
      </c>
      <c r="C125" s="10">
        <v>3.665163722</v>
      </c>
      <c r="D125" s="11">
        <v>5500</v>
      </c>
      <c r="E125" s="11">
        <f t="shared" si="14"/>
        <v>-5500</v>
      </c>
      <c r="F125" s="11">
        <f t="shared" si="15"/>
        <v>5500</v>
      </c>
      <c r="G125" s="36" t="s">
        <v>100</v>
      </c>
      <c r="H125" s="11">
        <v>2.2000000000000001E-6</v>
      </c>
      <c r="I125" s="36" t="str">
        <f t="shared" si="16"/>
        <v>PASS</v>
      </c>
      <c r="J125" s="10">
        <v>0.18584687290388241</v>
      </c>
      <c r="K125" t="s">
        <v>182</v>
      </c>
    </row>
    <row r="126" spans="1:11" ht="14.2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t="s">
        <v>182</v>
      </c>
    </row>
    <row r="127" spans="1:11" ht="25.5" customHeight="1">
      <c r="A127" s="20" t="s">
        <v>189</v>
      </c>
      <c r="B127" s="21" t="s">
        <v>173</v>
      </c>
      <c r="C127" s="18" t="s">
        <v>174</v>
      </c>
      <c r="D127" s="18" t="s">
        <v>175</v>
      </c>
      <c r="E127" s="18" t="s">
        <v>176</v>
      </c>
      <c r="F127" s="18" t="s">
        <v>177</v>
      </c>
      <c r="G127" s="19" t="s">
        <v>178</v>
      </c>
      <c r="H127" s="18" t="s">
        <v>179</v>
      </c>
      <c r="I127" s="18" t="s">
        <v>97</v>
      </c>
      <c r="J127" s="18" t="s">
        <v>180</v>
      </c>
      <c r="K127" t="s">
        <v>182</v>
      </c>
    </row>
    <row r="128" spans="1:11" ht="14.25" customHeight="1">
      <c r="A128" s="36" t="s">
        <v>181</v>
      </c>
      <c r="B128" s="36" t="s">
        <v>147</v>
      </c>
      <c r="C128" s="10">
        <v>0.24111316350000001</v>
      </c>
      <c r="D128" s="11">
        <v>0.3</v>
      </c>
      <c r="E128" s="11">
        <f t="shared" ref="E128:E136" si="17">-1*D128</f>
        <v>-0.3</v>
      </c>
      <c r="F128" s="11">
        <f t="shared" ref="F128:F136" si="18">D128</f>
        <v>0.3</v>
      </c>
      <c r="G128" s="36" t="s">
        <v>100</v>
      </c>
      <c r="H128" s="11">
        <v>7.9999999999999996E-6</v>
      </c>
      <c r="I128" s="36" t="str">
        <f t="shared" ref="I128:I136" si="19">IF(AND(C128&gt;E128,C128&lt;F128),"PASS","FAIL")</f>
        <v>PASS</v>
      </c>
      <c r="J128" s="10">
        <v>9.4863690154014765E-5</v>
      </c>
      <c r="K128" t="s">
        <v>182</v>
      </c>
    </row>
    <row r="129" spans="1:11" ht="14.25" customHeight="1">
      <c r="A129" s="39" t="s">
        <v>181</v>
      </c>
      <c r="B129" s="48" t="s">
        <v>150</v>
      </c>
      <c r="C129" s="4">
        <v>0.2413575553</v>
      </c>
      <c r="D129" s="12">
        <v>0.35</v>
      </c>
      <c r="E129" s="12">
        <f t="shared" si="17"/>
        <v>-0.35</v>
      </c>
      <c r="F129" s="12">
        <f t="shared" si="18"/>
        <v>0.35</v>
      </c>
      <c r="G129" s="39" t="s">
        <v>100</v>
      </c>
      <c r="H129" s="12">
        <v>2.2000000000000001E-6</v>
      </c>
      <c r="I129" s="39" t="str">
        <f t="shared" si="19"/>
        <v>PASS</v>
      </c>
      <c r="J129" s="4">
        <v>1.4504395027901081E-4</v>
      </c>
      <c r="K129" t="s">
        <v>182</v>
      </c>
    </row>
    <row r="130" spans="1:11" ht="14.25" customHeight="1">
      <c r="A130" s="36" t="s">
        <v>181</v>
      </c>
      <c r="B130" s="47" t="s">
        <v>183</v>
      </c>
      <c r="C130" s="10">
        <v>0.24125046219999999</v>
      </c>
      <c r="D130" s="11">
        <v>0.4</v>
      </c>
      <c r="E130" s="11">
        <f t="shared" si="17"/>
        <v>-0.4</v>
      </c>
      <c r="F130" s="11">
        <f t="shared" si="18"/>
        <v>0.4</v>
      </c>
      <c r="G130" s="36" t="s">
        <v>100</v>
      </c>
      <c r="H130" s="11">
        <v>2.2000000000000001E-6</v>
      </c>
      <c r="I130" s="36" t="str">
        <f t="shared" si="19"/>
        <v>PASS</v>
      </c>
      <c r="J130" s="10">
        <v>7.9285460666880412E-5</v>
      </c>
      <c r="K130" t="s">
        <v>182</v>
      </c>
    </row>
    <row r="131" spans="1:11" ht="14.25" customHeight="1">
      <c r="A131" s="39" t="s">
        <v>181</v>
      </c>
      <c r="B131" s="48" t="s">
        <v>184</v>
      </c>
      <c r="C131" s="4">
        <v>0.24901333549999999</v>
      </c>
      <c r="D131" s="12">
        <v>0.4</v>
      </c>
      <c r="E131" s="12">
        <f t="shared" si="17"/>
        <v>-0.4</v>
      </c>
      <c r="F131" s="12">
        <f t="shared" si="18"/>
        <v>0.4</v>
      </c>
      <c r="G131" s="39" t="s">
        <v>100</v>
      </c>
      <c r="H131" s="12">
        <v>2.2000000000000001E-6</v>
      </c>
      <c r="I131" s="39" t="str">
        <f t="shared" si="19"/>
        <v>PASS</v>
      </c>
      <c r="J131" s="4">
        <v>1.556667307559014E-4</v>
      </c>
      <c r="K131" t="s">
        <v>182</v>
      </c>
    </row>
    <row r="132" spans="1:11" ht="14.25" customHeight="1">
      <c r="A132" s="36" t="s">
        <v>181</v>
      </c>
      <c r="B132" s="47" t="s">
        <v>185</v>
      </c>
      <c r="C132" s="10">
        <v>0.27055090739999998</v>
      </c>
      <c r="D132" s="11">
        <v>0.55000000000000004</v>
      </c>
      <c r="E132" s="11">
        <f t="shared" si="17"/>
        <v>-0.55000000000000004</v>
      </c>
      <c r="F132" s="11">
        <f t="shared" si="18"/>
        <v>0.55000000000000004</v>
      </c>
      <c r="G132" s="36" t="s">
        <v>100</v>
      </c>
      <c r="H132" s="11">
        <v>2.2000000000000001E-6</v>
      </c>
      <c r="I132" s="36" t="str">
        <f t="shared" si="19"/>
        <v>PASS</v>
      </c>
      <c r="J132" s="10">
        <v>1.4704877981998731E-3</v>
      </c>
      <c r="K132" t="s">
        <v>182</v>
      </c>
    </row>
    <row r="133" spans="1:11" ht="14.25" customHeight="1">
      <c r="A133" s="39" t="s">
        <v>181</v>
      </c>
      <c r="B133" s="48" t="s">
        <v>160</v>
      </c>
      <c r="C133" s="4">
        <v>0.56776557809999995</v>
      </c>
      <c r="D133" s="39">
        <v>5.5</v>
      </c>
      <c r="E133" s="12">
        <f t="shared" si="17"/>
        <v>-5.5</v>
      </c>
      <c r="F133" s="12">
        <f t="shared" si="18"/>
        <v>5.5</v>
      </c>
      <c r="G133" s="39" t="s">
        <v>100</v>
      </c>
      <c r="H133" s="12">
        <v>2.2000000000000001E-6</v>
      </c>
      <c r="I133" s="39" t="str">
        <f t="shared" si="19"/>
        <v>PASS</v>
      </c>
      <c r="J133" s="4">
        <v>1.4273644950067421E-2</v>
      </c>
      <c r="K133" t="s">
        <v>182</v>
      </c>
    </row>
    <row r="134" spans="1:11" ht="14.25" customHeight="1">
      <c r="A134" s="36" t="s">
        <v>181</v>
      </c>
      <c r="B134" s="47" t="s">
        <v>186</v>
      </c>
      <c r="C134" s="10">
        <v>3.126167911</v>
      </c>
      <c r="D134" s="11">
        <v>55</v>
      </c>
      <c r="E134" s="11">
        <f t="shared" si="17"/>
        <v>-55</v>
      </c>
      <c r="F134" s="11">
        <f t="shared" si="18"/>
        <v>55</v>
      </c>
      <c r="G134" s="36" t="s">
        <v>100</v>
      </c>
      <c r="H134" s="11">
        <v>2.2000000000000001E-6</v>
      </c>
      <c r="I134" s="36" t="str">
        <f t="shared" si="19"/>
        <v>PASS</v>
      </c>
      <c r="J134" s="10">
        <v>0.104418773959987</v>
      </c>
      <c r="K134" t="s">
        <v>182</v>
      </c>
    </row>
    <row r="135" spans="1:11" ht="14.25" customHeight="1">
      <c r="A135" s="39" t="s">
        <v>181</v>
      </c>
      <c r="B135" s="48" t="s">
        <v>187</v>
      </c>
      <c r="C135" s="4">
        <v>2.9824369430000002</v>
      </c>
      <c r="D135" s="12">
        <v>550</v>
      </c>
      <c r="E135" s="12">
        <f t="shared" si="17"/>
        <v>-550</v>
      </c>
      <c r="F135" s="12">
        <f t="shared" si="18"/>
        <v>550</v>
      </c>
      <c r="G135" s="39" t="s">
        <v>100</v>
      </c>
      <c r="H135" s="12">
        <v>2.2000000000000001E-6</v>
      </c>
      <c r="I135" s="39" t="str">
        <f t="shared" si="19"/>
        <v>PASS</v>
      </c>
      <c r="J135" s="4">
        <v>0.13656636128219279</v>
      </c>
      <c r="K135" t="s">
        <v>190</v>
      </c>
    </row>
    <row r="136" spans="1:11" ht="14.25" customHeight="1">
      <c r="A136" s="36" t="s">
        <v>181</v>
      </c>
      <c r="B136" s="47" t="s">
        <v>188</v>
      </c>
      <c r="C136" s="10">
        <v>3.0902359019999999</v>
      </c>
      <c r="D136" s="11">
        <v>5500</v>
      </c>
      <c r="E136" s="11">
        <f t="shared" si="17"/>
        <v>-5500</v>
      </c>
      <c r="F136" s="11">
        <f t="shared" si="18"/>
        <v>5500</v>
      </c>
      <c r="G136" s="36" t="s">
        <v>100</v>
      </c>
      <c r="H136" s="11">
        <v>2.2000000000000001E-6</v>
      </c>
      <c r="I136" s="36" t="str">
        <f t="shared" si="19"/>
        <v>PASS</v>
      </c>
      <c r="J136" s="10">
        <v>0.1356440509210462</v>
      </c>
      <c r="K136" t="s">
        <v>190</v>
      </c>
    </row>
    <row r="137" spans="1:11" ht="14.2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</row>
    <row r="138" spans="1:11" ht="14.25" customHeight="1">
      <c r="A138" s="23" t="s">
        <v>191</v>
      </c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1:11" ht="14.25" customHeight="1">
      <c r="A139" s="23" t="s">
        <v>192</v>
      </c>
      <c r="B139" s="23"/>
      <c r="C139" s="23"/>
      <c r="D139" s="23"/>
      <c r="E139" s="23"/>
      <c r="F139" s="23"/>
      <c r="G139" s="23"/>
      <c r="H139" s="23"/>
      <c r="I139" s="23"/>
      <c r="J139" s="23"/>
    </row>
    <row r="140" spans="1:11" ht="14.2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</row>
    <row r="141" spans="1:11" ht="14.2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</row>
    <row r="142" spans="1:11" ht="16.5" customHeight="1" thickBot="1">
      <c r="A142" s="8"/>
      <c r="B142" s="8"/>
      <c r="C142" s="8"/>
      <c r="D142" s="9"/>
      <c r="E142" s="35" t="s">
        <v>193</v>
      </c>
      <c r="F142" s="8"/>
      <c r="G142" s="8"/>
      <c r="H142" s="8"/>
      <c r="I142" s="8"/>
    </row>
    <row r="143" spans="1:11" ht="25.5" customHeight="1">
      <c r="A143" s="20" t="s">
        <v>194</v>
      </c>
      <c r="B143" s="21" t="s">
        <v>173</v>
      </c>
      <c r="C143" s="20" t="s">
        <v>195</v>
      </c>
      <c r="D143" s="17" t="s">
        <v>196</v>
      </c>
      <c r="E143" s="20" t="s">
        <v>197</v>
      </c>
      <c r="F143" s="20" t="s">
        <v>198</v>
      </c>
      <c r="G143" s="20" t="s">
        <v>199</v>
      </c>
      <c r="H143" s="20" t="s">
        <v>200</v>
      </c>
      <c r="I143" s="17" t="s">
        <v>97</v>
      </c>
      <c r="J143" s="16" t="s">
        <v>201</v>
      </c>
    </row>
    <row r="144" spans="1:11" ht="14.25" customHeight="1">
      <c r="A144" s="36" t="s">
        <v>202</v>
      </c>
      <c r="B144" s="36" t="s">
        <v>203</v>
      </c>
      <c r="C144" s="10">
        <v>1.0001127649999999</v>
      </c>
      <c r="D144" s="36">
        <f>(80*1+12)/1</f>
        <v>92</v>
      </c>
      <c r="E144" s="36">
        <f>MID(A144,1,1)-D144/1000000-MID(A144,1,1)*H144/100</f>
        <v>0.994008</v>
      </c>
      <c r="F144" s="36">
        <f>MID(A144,1,1)+E144/1000000+MID(A144,1,1)*I144/100</f>
        <v>1.0188202530199999</v>
      </c>
      <c r="G144" s="54">
        <f>(C144-MID(B144,1,1))*100/MID(B144,1,1)</f>
        <v>1.1276499999990364E-2</v>
      </c>
      <c r="H144" s="36">
        <f>(0.15+0.04)+(0.15+0.25)</f>
        <v>0.59000000000000008</v>
      </c>
      <c r="I144" s="42">
        <f t="shared" ref="I144:I150" si="20">G144*100/(H144+D144/10000)</f>
        <v>1.8819259011999938</v>
      </c>
      <c r="J144" s="25">
        <v>1.0317054036035069</v>
      </c>
      <c r="K144" t="s">
        <v>204</v>
      </c>
    </row>
    <row r="145" spans="1:11" ht="14.25" customHeight="1">
      <c r="A145" s="39" t="s">
        <v>205</v>
      </c>
      <c r="B145" s="48" t="s">
        <v>203</v>
      </c>
      <c r="C145" s="4">
        <v>1.012583563</v>
      </c>
      <c r="D145" s="39">
        <f>(1600*1+400)/1</f>
        <v>2000</v>
      </c>
      <c r="E145" s="39">
        <f>MID(A145,1,1)-D145/1000000-MID(A145,1,1)*H145/100</f>
        <v>0.92399999999999993</v>
      </c>
      <c r="F145" s="39">
        <f>MID(A145,1,1)+E145/1000000+MID(A145,1,1)*I145/100</f>
        <v>1.1655741213684205</v>
      </c>
      <c r="G145" s="53">
        <f>(C145-MID(B145,1,1))*100/MID(B145,1,1)</f>
        <v>1.2583562999999964</v>
      </c>
      <c r="H145" s="45">
        <f>(5+2)+(0.15+0.25)</f>
        <v>7.4</v>
      </c>
      <c r="I145" s="42">
        <f t="shared" si="20"/>
        <v>16.557319736842057</v>
      </c>
      <c r="J145" s="4">
        <v>5.8752518805218514</v>
      </c>
      <c r="K145" t="s">
        <v>206</v>
      </c>
    </row>
    <row r="146" spans="1:11" ht="14.25" customHeight="1">
      <c r="A146" s="36" t="s">
        <v>207</v>
      </c>
      <c r="B146" s="47" t="s">
        <v>208</v>
      </c>
      <c r="C146" s="10">
        <v>10.00066224</v>
      </c>
      <c r="D146" s="36">
        <f>(95*10+200)/10</f>
        <v>115</v>
      </c>
      <c r="E146" s="36">
        <f>MID(A146,1,2)-D146/1000000-MID(A146,1,2)*H146/100</f>
        <v>9.9528850000000002</v>
      </c>
      <c r="F146" s="36">
        <f>MID(A146,1,2)+E146/1000000+MID(A146,1,2)*I146/100</f>
        <v>10.13754681685187</v>
      </c>
      <c r="G146" s="54">
        <f>(C146-MID(B146,1,2))*100/MID(B146,1,2)</f>
        <v>6.6224000000048022E-3</v>
      </c>
      <c r="H146" s="36">
        <f>(0.06+0.01)+(0.15+0.25)</f>
        <v>0.47000000000000003</v>
      </c>
      <c r="I146" s="42">
        <f t="shared" si="20"/>
        <v>1.3753686396687024</v>
      </c>
      <c r="J146" s="10">
        <v>1.2841156848857149</v>
      </c>
      <c r="K146" t="s">
        <v>209</v>
      </c>
    </row>
    <row r="147" spans="1:11" ht="14.25" customHeight="1">
      <c r="A147" s="39" t="s">
        <v>210</v>
      </c>
      <c r="B147" s="48" t="s">
        <v>208</v>
      </c>
      <c r="C147" s="4">
        <v>10.000687080000001</v>
      </c>
      <c r="D147" s="39">
        <f>(45*10+70)/10</f>
        <v>52</v>
      </c>
      <c r="E147" s="39">
        <f>MID(A147,1,2)-D147/1000000-MID(A147,1,2)*H147/100</f>
        <v>9.9569480000000006</v>
      </c>
      <c r="F147" s="39">
        <f>MID(A147,1,2)+E147/1000000+MID(A147,1,2)*I147/100</f>
        <v>10.15788679518341</v>
      </c>
      <c r="G147" s="53">
        <f>(C147-MID(B147,1,2))*100/MID(B147,1,2)</f>
        <v>6.8708000000050617E-3</v>
      </c>
      <c r="H147" s="45">
        <f>(0.02+0.01)+(0.15+0.25)</f>
        <v>0.43000000000000005</v>
      </c>
      <c r="I147" s="42">
        <f t="shared" si="20"/>
        <v>1.5787683823541041</v>
      </c>
      <c r="J147" s="4">
        <v>1.463213835160067</v>
      </c>
      <c r="K147" t="s">
        <v>209</v>
      </c>
    </row>
    <row r="148" spans="1:11" ht="14.25" customHeight="1">
      <c r="A148" s="36" t="s">
        <v>211</v>
      </c>
      <c r="B148" s="47" t="s">
        <v>208</v>
      </c>
      <c r="C148" s="10">
        <v>10.00059875</v>
      </c>
      <c r="D148" s="36">
        <f>(45*10+70)/10</f>
        <v>52</v>
      </c>
      <c r="E148" s="36">
        <f>MID(A148,1,2)-D148/1000000-MID(A148,1,2)*H148/100</f>
        <v>9.9569480000000006</v>
      </c>
      <c r="F148" s="36">
        <f>MID(A148,1,2)+E148/1000000+MID(A148,1,2)*I148/100</f>
        <v>10.137590379742115</v>
      </c>
      <c r="G148" s="54">
        <f>(C148-MID(B148,1,2))*100/MID(B148,1,2)</f>
        <v>5.9874999999998124E-3</v>
      </c>
      <c r="H148" s="36">
        <f>(0.02+0.01)+(0.15+0.25)</f>
        <v>0.43000000000000005</v>
      </c>
      <c r="I148" s="42">
        <f t="shared" si="20"/>
        <v>1.3758042279411333</v>
      </c>
      <c r="J148" s="10">
        <v>0.79440236715443668</v>
      </c>
      <c r="K148" t="s">
        <v>209</v>
      </c>
    </row>
    <row r="149" spans="1:11" ht="14.25" customHeight="1">
      <c r="A149" s="39" t="s">
        <v>212</v>
      </c>
      <c r="B149" s="48" t="s">
        <v>208</v>
      </c>
      <c r="C149" s="4">
        <v>10.00023788</v>
      </c>
      <c r="D149" s="39">
        <f>(80*10+120)/10</f>
        <v>92</v>
      </c>
      <c r="E149" s="39">
        <f>MID(A149,1,2)-D149/1000000-MID(A149,1,2)*H149/100</f>
        <v>9.9409080000000003</v>
      </c>
      <c r="F149" s="39">
        <f>MID(A149,1,2)+E149/1000000+MID(A149,1,2)*I149/100</f>
        <v>10.039709540373996</v>
      </c>
      <c r="G149" s="53">
        <f>(C149-MID(B149,1,2))*100/MID(B149,1,2)</f>
        <v>2.3788000000024567E-3</v>
      </c>
      <c r="H149" s="45">
        <f>(0.15+0.04)+(0.15+0.25)</f>
        <v>0.59000000000000008</v>
      </c>
      <c r="I149" s="42">
        <f t="shared" si="20"/>
        <v>0.396995994659956</v>
      </c>
      <c r="J149" s="4">
        <v>0.98460061826580036</v>
      </c>
      <c r="K149" t="s">
        <v>204</v>
      </c>
    </row>
    <row r="150" spans="1:11" ht="14.25" customHeight="1">
      <c r="A150" s="36" t="s">
        <v>213</v>
      </c>
      <c r="B150" s="47" t="s">
        <v>208</v>
      </c>
      <c r="C150" s="10">
        <v>10.10558135</v>
      </c>
      <c r="D150" s="36">
        <f>(1500*10+4000)/10</f>
        <v>1900</v>
      </c>
      <c r="E150" s="36">
        <f>MID(A150,1,2)-D150/1000000-MID(A150,1,2)*H150/100</f>
        <v>9.2581000000000007</v>
      </c>
      <c r="F150" s="36">
        <f>MID(A150,1,2)+E150/1000000+MID(A150,1,2)*I150/100</f>
        <v>11.391067887876016</v>
      </c>
      <c r="G150" s="54">
        <f>(C150-MID(B150,1,2))*100/MID(B150,1,2)</f>
        <v>1.0558134999999957</v>
      </c>
      <c r="H150" s="36">
        <f>(5+2)+(0.15+0.25)</f>
        <v>7.4</v>
      </c>
      <c r="I150" s="42">
        <f t="shared" si="20"/>
        <v>13.910586297760153</v>
      </c>
      <c r="J150" s="10">
        <v>1.0040389357542701</v>
      </c>
      <c r="K150" t="s">
        <v>214</v>
      </c>
    </row>
    <row r="152" spans="1:11" ht="25.5" customHeight="1">
      <c r="A152" s="89" t="s">
        <v>215</v>
      </c>
      <c r="B152" s="70"/>
      <c r="C152" s="37" t="s">
        <v>216</v>
      </c>
      <c r="D152" s="37" t="s">
        <v>109</v>
      </c>
      <c r="E152" s="37" t="s">
        <v>217</v>
      </c>
      <c r="F152" s="37" t="s">
        <v>218</v>
      </c>
      <c r="G152" s="37" t="s">
        <v>219</v>
      </c>
      <c r="H152" s="37" t="s">
        <v>200</v>
      </c>
      <c r="I152" s="26" t="s">
        <v>97</v>
      </c>
      <c r="J152" s="37" t="s">
        <v>143</v>
      </c>
    </row>
    <row r="153" spans="1:11" ht="14.25" customHeight="1">
      <c r="A153" s="81" t="s">
        <v>220</v>
      </c>
      <c r="B153" s="82"/>
      <c r="C153" s="10">
        <v>1.0000521490000001E-2</v>
      </c>
      <c r="D153" s="42">
        <f>(250*MID(A153,1,4)+5)/MID(A153,1,4)</f>
        <v>750</v>
      </c>
      <c r="E153" s="57">
        <f t="shared" ref="E153:E184" si="21">MID(A153,1,4)-MID(A153,1,4)*D153/1000000-MID(A153,1,4)*H153/100</f>
        <v>9.9864999999999989E-3</v>
      </c>
      <c r="F153" s="57">
        <f t="shared" ref="F153:F184" si="22">MID(A153,1,4)+MID(A153,1,4)*D153/1000000+MID(A153,1,4)*H153/100</f>
        <v>1.0013500000000002E-2</v>
      </c>
      <c r="G153" s="43">
        <f t="shared" ref="G153:G184" si="23">(C153-MID(A153,1,4))*100/MID(A153,1,4)</f>
        <v>5.2149000000049905E-3</v>
      </c>
      <c r="H153" s="42">
        <f>0.03+0.03</f>
        <v>0.06</v>
      </c>
      <c r="I153" s="42">
        <f t="shared" ref="I153:I184" si="24">G153*100/(H153+D153/10000)</f>
        <v>3.8628888888925852</v>
      </c>
      <c r="J153" s="10">
        <v>123.04111137480881</v>
      </c>
      <c r="K153" t="s">
        <v>221</v>
      </c>
    </row>
    <row r="154" spans="1:11" ht="14.25" customHeight="1">
      <c r="A154" s="83" t="s">
        <v>222</v>
      </c>
      <c r="B154" s="82"/>
      <c r="C154" s="4">
        <v>9.9987796509999997E-3</v>
      </c>
      <c r="D154" s="45">
        <f>(100*MID(A154,1,4)+5)/MID(A154,1,4)</f>
        <v>600</v>
      </c>
      <c r="E154" s="58">
        <f t="shared" si="21"/>
        <v>9.9879999999999986E-3</v>
      </c>
      <c r="F154" s="58">
        <f t="shared" si="22"/>
        <v>1.0012000000000002E-2</v>
      </c>
      <c r="G154" s="46">
        <f t="shared" si="23"/>
        <v>-1.2203490000004674E-2</v>
      </c>
      <c r="H154" s="45">
        <f>0.03+0.03</f>
        <v>0.06</v>
      </c>
      <c r="I154" s="42">
        <f t="shared" si="24"/>
        <v>-10.169575000003894</v>
      </c>
      <c r="J154" s="4">
        <v>85.931373929647108</v>
      </c>
      <c r="K154" t="s">
        <v>223</v>
      </c>
    </row>
    <row r="155" spans="1:11" ht="14.25" customHeight="1">
      <c r="A155" s="81" t="s">
        <v>224</v>
      </c>
      <c r="B155" s="82"/>
      <c r="C155" s="10">
        <v>9.9990578360000006E-3</v>
      </c>
      <c r="D155" s="42">
        <f>(85*MID(A155,1,4)+5)/MID(A155,1,4)</f>
        <v>585</v>
      </c>
      <c r="E155" s="57">
        <f t="shared" si="21"/>
        <v>9.9910499999999996E-3</v>
      </c>
      <c r="F155" s="57">
        <f t="shared" si="22"/>
        <v>1.0008950000000001E-2</v>
      </c>
      <c r="G155" s="43">
        <f t="shared" si="23"/>
        <v>-9.4216399999964839E-3</v>
      </c>
      <c r="H155" s="42">
        <f>0.02+0.011</f>
        <v>3.1E-2</v>
      </c>
      <c r="I155" s="42">
        <f t="shared" si="24"/>
        <v>-10.526972067035178</v>
      </c>
      <c r="J155" s="10">
        <v>28.193419785478309</v>
      </c>
      <c r="K155" t="s">
        <v>225</v>
      </c>
    </row>
    <row r="156" spans="1:11" ht="14.25" customHeight="1">
      <c r="A156" s="83" t="s">
        <v>226</v>
      </c>
      <c r="B156" s="82"/>
      <c r="C156" s="4">
        <v>9.9990739459999995E-3</v>
      </c>
      <c r="D156" s="45">
        <f>(85*MID(A156,1,4)+5)/MID(A156,1,4)</f>
        <v>585</v>
      </c>
      <c r="E156" s="58">
        <f t="shared" si="21"/>
        <v>9.9910499999999996E-3</v>
      </c>
      <c r="F156" s="58">
        <f t="shared" si="22"/>
        <v>1.0008950000000001E-2</v>
      </c>
      <c r="G156" s="46">
        <f t="shared" si="23"/>
        <v>-9.2605400000070337E-3</v>
      </c>
      <c r="H156" s="45">
        <f>0.02+0.011</f>
        <v>3.1E-2</v>
      </c>
      <c r="I156" s="42">
        <f t="shared" si="24"/>
        <v>-10.346972067046966</v>
      </c>
      <c r="J156" s="4">
        <v>68.685235235089692</v>
      </c>
      <c r="K156" t="s">
        <v>225</v>
      </c>
    </row>
    <row r="157" spans="1:11" ht="14.25" customHeight="1">
      <c r="A157" s="81" t="s">
        <v>227</v>
      </c>
      <c r="B157" s="82"/>
      <c r="C157" s="10">
        <v>9.9990007709999992E-3</v>
      </c>
      <c r="D157" s="42">
        <f>(85*MID(A157,1,4)+5)/MID(A157,1,4)</f>
        <v>585</v>
      </c>
      <c r="E157" s="57">
        <f t="shared" si="21"/>
        <v>9.9910499999999996E-3</v>
      </c>
      <c r="F157" s="57">
        <f t="shared" si="22"/>
        <v>1.0008950000000001E-2</v>
      </c>
      <c r="G157" s="43">
        <f t="shared" si="23"/>
        <v>-9.9922900000104509E-3</v>
      </c>
      <c r="H157" s="42">
        <f>0.02+0.011</f>
        <v>3.1E-2</v>
      </c>
      <c r="I157" s="42">
        <f t="shared" si="24"/>
        <v>-11.164569832413912</v>
      </c>
      <c r="J157" s="10">
        <v>65.26989655133211</v>
      </c>
      <c r="K157" t="s">
        <v>225</v>
      </c>
    </row>
    <row r="158" spans="1:11" ht="14.25" customHeight="1">
      <c r="A158" s="83" t="s">
        <v>228</v>
      </c>
      <c r="B158" s="82"/>
      <c r="C158" s="4">
        <v>1.0000296590000001E-2</v>
      </c>
      <c r="D158" s="45">
        <f>(85*MID(A158,1,4)+5)/MID(A158,1,4)</f>
        <v>585</v>
      </c>
      <c r="E158" s="58">
        <f t="shared" si="21"/>
        <v>9.9910499999999996E-3</v>
      </c>
      <c r="F158" s="58">
        <f t="shared" si="22"/>
        <v>1.0008950000000001E-2</v>
      </c>
      <c r="G158" s="46">
        <f t="shared" si="23"/>
        <v>2.9659000000056834E-3</v>
      </c>
      <c r="H158" s="45">
        <f>0.02+0.011</f>
        <v>3.1E-2</v>
      </c>
      <c r="I158" s="42">
        <f t="shared" si="24"/>
        <v>3.3138547486097023</v>
      </c>
      <c r="J158" s="4">
        <v>31.992199633075451</v>
      </c>
      <c r="K158" t="s">
        <v>225</v>
      </c>
    </row>
    <row r="159" spans="1:11" ht="14.25" customHeight="1">
      <c r="A159" s="81" t="s">
        <v>229</v>
      </c>
      <c r="B159" s="82"/>
      <c r="C159" s="10">
        <v>9.9992284190000003E-3</v>
      </c>
      <c r="D159" s="42">
        <f>(85*MID(A159,1,4)+5)/MID(A159,1,4)</f>
        <v>585</v>
      </c>
      <c r="E159" s="57">
        <f t="shared" si="21"/>
        <v>9.9910499999999996E-3</v>
      </c>
      <c r="F159" s="57">
        <f t="shared" si="22"/>
        <v>1.0008950000000001E-2</v>
      </c>
      <c r="G159" s="43">
        <f t="shared" si="23"/>
        <v>-7.7158099999995178E-3</v>
      </c>
      <c r="H159" s="42">
        <f>0.02+0.011</f>
        <v>3.1E-2</v>
      </c>
      <c r="I159" s="42">
        <f t="shared" si="24"/>
        <v>-8.6210167597759977</v>
      </c>
      <c r="J159" s="10">
        <v>26.70382950703484</v>
      </c>
      <c r="K159" t="s">
        <v>225</v>
      </c>
    </row>
    <row r="160" spans="1:11" ht="14.25" customHeight="1">
      <c r="A160" s="83" t="s">
        <v>230</v>
      </c>
      <c r="B160" s="82"/>
      <c r="C160" s="4">
        <v>9.9973760770000007E-3</v>
      </c>
      <c r="D160" s="45">
        <f>(220*MID(A160,1,4)+5)/MID(A160,1,4)</f>
        <v>720</v>
      </c>
      <c r="E160" s="58">
        <f t="shared" si="21"/>
        <v>9.9816999999999996E-3</v>
      </c>
      <c r="F160" s="58">
        <f t="shared" si="22"/>
        <v>1.0018300000000001E-2</v>
      </c>
      <c r="G160" s="46">
        <f t="shared" si="23"/>
        <v>-2.6239229999995561E-2</v>
      </c>
      <c r="H160" s="45">
        <f>0.1+0.011</f>
        <v>0.111</v>
      </c>
      <c r="I160" s="42">
        <f t="shared" si="24"/>
        <v>-14.338377049177904</v>
      </c>
      <c r="J160" s="4">
        <v>77.660859189924437</v>
      </c>
      <c r="K160" t="s">
        <v>231</v>
      </c>
    </row>
    <row r="161" spans="1:11" ht="14.25" customHeight="1">
      <c r="A161" s="81" t="s">
        <v>232</v>
      </c>
      <c r="B161" s="82"/>
      <c r="C161" s="10">
        <v>9.9801029449999995E-3</v>
      </c>
      <c r="D161" s="42">
        <f>(500*MID(A161,1,4)+6)/MID(A161,1,4)</f>
        <v>1100</v>
      </c>
      <c r="E161" s="57">
        <f t="shared" si="21"/>
        <v>9.9378999999999995E-3</v>
      </c>
      <c r="F161" s="57">
        <f t="shared" si="22"/>
        <v>1.0062100000000001E-2</v>
      </c>
      <c r="G161" s="43">
        <f t="shared" si="23"/>
        <v>-0.19897055000000705</v>
      </c>
      <c r="H161" s="42">
        <f>0.5+0.011</f>
        <v>0.51100000000000001</v>
      </c>
      <c r="I161" s="42">
        <f t="shared" si="24"/>
        <v>-32.040346215782137</v>
      </c>
      <c r="J161" s="10">
        <v>80.30173420839067</v>
      </c>
      <c r="K161" t="s">
        <v>233</v>
      </c>
    </row>
    <row r="162" spans="1:11" ht="14.25" customHeight="1">
      <c r="A162" s="83" t="s">
        <v>234</v>
      </c>
      <c r="B162" s="82"/>
      <c r="C162" s="4">
        <v>9.8416043049999995E-3</v>
      </c>
      <c r="D162" s="45">
        <f>(1000*MID(A162,1,4)+12)/MID(A162,1,4)</f>
        <v>2200</v>
      </c>
      <c r="E162" s="58">
        <f t="shared" si="21"/>
        <v>9.5760000000000012E-3</v>
      </c>
      <c r="F162" s="58">
        <f t="shared" si="22"/>
        <v>1.0423999999999999E-2</v>
      </c>
      <c r="G162" s="46">
        <f t="shared" si="23"/>
        <v>-1.5839569500000066</v>
      </c>
      <c r="H162" s="45">
        <f>4+0.02</f>
        <v>4.0199999999999996</v>
      </c>
      <c r="I162" s="42">
        <f t="shared" si="24"/>
        <v>-37.357475235849222</v>
      </c>
      <c r="J162" s="4">
        <v>49.732349394319677</v>
      </c>
      <c r="K162" t="s">
        <v>235</v>
      </c>
    </row>
    <row r="163" spans="1:11" ht="14.25" customHeight="1">
      <c r="A163" s="81" t="s">
        <v>236</v>
      </c>
      <c r="B163" s="82"/>
      <c r="C163" s="10">
        <v>9.6325938459999993E-3</v>
      </c>
      <c r="D163" s="42">
        <f>(1400*MID(A163,1,4)+25)/MID(A163,1,4)</f>
        <v>3900</v>
      </c>
      <c r="E163" s="57">
        <f t="shared" si="21"/>
        <v>6.7559999999999999E-3</v>
      </c>
      <c r="F163" s="57">
        <f t="shared" si="22"/>
        <v>1.3244000000000001E-2</v>
      </c>
      <c r="G163" s="43">
        <f t="shared" si="23"/>
        <v>-3.6740615400000092</v>
      </c>
      <c r="H163" s="42">
        <v>32.049999999999997</v>
      </c>
      <c r="I163" s="42">
        <f t="shared" si="24"/>
        <v>-11.325713748458723</v>
      </c>
      <c r="J163" s="10">
        <v>43.780381972743143</v>
      </c>
      <c r="K163" t="s">
        <v>237</v>
      </c>
    </row>
    <row r="164" spans="1:11" ht="14.25" customHeight="1">
      <c r="A164" s="83" t="s">
        <v>238</v>
      </c>
      <c r="B164" s="82"/>
      <c r="C164" s="4">
        <v>8.7636132160000008E-3</v>
      </c>
      <c r="D164" s="45">
        <f>(2900*MID(A164,1,4)+25)/MID(A164,1,4)</f>
        <v>5400</v>
      </c>
      <c r="E164" s="58">
        <f t="shared" si="21"/>
        <v>6.7410000000000005E-3</v>
      </c>
      <c r="F164" s="58">
        <f t="shared" si="22"/>
        <v>1.3259E-2</v>
      </c>
      <c r="G164" s="46">
        <f t="shared" si="23"/>
        <v>-12.363867839999994</v>
      </c>
      <c r="H164" s="45">
        <v>32.049999999999997</v>
      </c>
      <c r="I164" s="42">
        <f t="shared" si="24"/>
        <v>-37.937612273703571</v>
      </c>
      <c r="J164" s="4">
        <v>66.665436746659353</v>
      </c>
      <c r="K164" t="s">
        <v>239</v>
      </c>
    </row>
    <row r="165" spans="1:11" ht="14.25" customHeight="1">
      <c r="A165" s="81" t="s">
        <v>240</v>
      </c>
      <c r="B165" s="82"/>
      <c r="C165" s="10">
        <v>3.0022554119999999E-2</v>
      </c>
      <c r="D165" s="42">
        <f>(250*MID(A165,1,4)+15)/MID(A165,1,4)</f>
        <v>750</v>
      </c>
      <c r="E165" s="57">
        <f t="shared" si="21"/>
        <v>2.9971399999999999E-2</v>
      </c>
      <c r="F165" s="57">
        <f t="shared" si="22"/>
        <v>3.0028599999999999E-2</v>
      </c>
      <c r="G165" s="43">
        <f t="shared" si="23"/>
        <v>7.5180400000001799E-2</v>
      </c>
      <c r="H165" s="42">
        <f>(0.03*0.007+0.004*0.1)/0.03</f>
        <v>2.0333333333333335E-2</v>
      </c>
      <c r="I165" s="42">
        <f t="shared" si="24"/>
        <v>78.860559440561332</v>
      </c>
      <c r="J165" s="10">
        <v>172.005208277804</v>
      </c>
      <c r="K165" t="s">
        <v>221</v>
      </c>
    </row>
    <row r="166" spans="1:11" ht="14.25" customHeight="1">
      <c r="A166" s="83" t="s">
        <v>241</v>
      </c>
      <c r="B166" s="82"/>
      <c r="C166" s="4">
        <v>3.0015380899999999E-2</v>
      </c>
      <c r="D166" s="45">
        <f>(250*MID(A166,1,4)+15)/MID(A166,1,4)</f>
        <v>750</v>
      </c>
      <c r="E166" s="58">
        <f t="shared" si="21"/>
        <v>2.9971399999999999E-2</v>
      </c>
      <c r="F166" s="58">
        <f t="shared" si="22"/>
        <v>3.0028599999999999E-2</v>
      </c>
      <c r="G166" s="46">
        <f t="shared" si="23"/>
        <v>5.1269666666668254E-2</v>
      </c>
      <c r="H166" s="45">
        <f>(0.03*0.007+0.004*0.1)/0.03</f>
        <v>2.0333333333333335E-2</v>
      </c>
      <c r="I166" s="42">
        <f t="shared" si="24"/>
        <v>53.779370629372295</v>
      </c>
      <c r="J166" s="4">
        <v>125.5541897412583</v>
      </c>
      <c r="K166" t="s">
        <v>242</v>
      </c>
    </row>
    <row r="167" spans="1:11" ht="14.25" customHeight="1">
      <c r="A167" s="81" t="s">
        <v>243</v>
      </c>
      <c r="B167" s="82"/>
      <c r="C167" s="10">
        <v>3.0022326110000001E-2</v>
      </c>
      <c r="D167" s="42">
        <f>(85*MID(A167,1,4)+8)/MID(A167,1,4)</f>
        <v>351.66666666666669</v>
      </c>
      <c r="E167" s="57">
        <f t="shared" si="21"/>
        <v>2.9985349999999997E-2</v>
      </c>
      <c r="F167" s="57">
        <f t="shared" si="22"/>
        <v>3.001465E-2</v>
      </c>
      <c r="G167" s="43">
        <f t="shared" si="23"/>
        <v>7.4420366666672538E-2</v>
      </c>
      <c r="H167" s="42">
        <f>(0.03*0.007+0.002*0.1)/0.03</f>
        <v>1.3666666666666667E-2</v>
      </c>
      <c r="I167" s="42">
        <f t="shared" si="24"/>
        <v>152.39665529011441</v>
      </c>
      <c r="J167" s="10">
        <v>238.1168146693424</v>
      </c>
      <c r="K167" t="s">
        <v>244</v>
      </c>
    </row>
    <row r="168" spans="1:11" ht="14.25" customHeight="1">
      <c r="A168" s="83" t="s">
        <v>245</v>
      </c>
      <c r="B168" s="82"/>
      <c r="C168" s="4">
        <v>3.001883876E-2</v>
      </c>
      <c r="D168" s="45">
        <f>(85*MID(A168,1,4)+8)/MID(A168,1,4)</f>
        <v>351.66666666666669</v>
      </c>
      <c r="E168" s="58">
        <f t="shared" si="21"/>
        <v>2.9985349999999997E-2</v>
      </c>
      <c r="F168" s="58">
        <f t="shared" si="22"/>
        <v>3.001465E-2</v>
      </c>
      <c r="G168" s="46">
        <f t="shared" si="23"/>
        <v>6.279586666666874E-2</v>
      </c>
      <c r="H168" s="45">
        <f>(0.03*0.007+0.002*0.1)/0.03</f>
        <v>1.3666666666666667E-2</v>
      </c>
      <c r="I168" s="42">
        <f t="shared" si="24"/>
        <v>128.59221843003837</v>
      </c>
      <c r="J168" s="4">
        <v>192.6669819018866</v>
      </c>
      <c r="K168" t="s">
        <v>244</v>
      </c>
    </row>
    <row r="169" spans="1:11" ht="14.25" customHeight="1">
      <c r="A169" s="81" t="s">
        <v>246</v>
      </c>
      <c r="B169" s="82"/>
      <c r="C169" s="10">
        <v>3.0018878459999999E-2</v>
      </c>
      <c r="D169" s="42">
        <f>(85*MID(A169,1,4)+8)/MID(A169,1,4)</f>
        <v>351.66666666666669</v>
      </c>
      <c r="E169" s="57">
        <f t="shared" si="21"/>
        <v>2.9985349999999997E-2</v>
      </c>
      <c r="F169" s="57">
        <f t="shared" si="22"/>
        <v>3.001465E-2</v>
      </c>
      <c r="G169" s="43">
        <f t="shared" si="23"/>
        <v>6.292819999999949E-2</v>
      </c>
      <c r="H169" s="42">
        <f>(0.03*0.007+0.002*0.1)/0.03</f>
        <v>1.3666666666666667E-2</v>
      </c>
      <c r="I169" s="42">
        <f t="shared" si="24"/>
        <v>128.86320819112524</v>
      </c>
      <c r="J169" s="10">
        <v>211.0692501177399</v>
      </c>
      <c r="K169" t="s">
        <v>244</v>
      </c>
    </row>
    <row r="170" spans="1:11" ht="14.25" customHeight="1">
      <c r="A170" s="83" t="s">
        <v>247</v>
      </c>
      <c r="B170" s="82"/>
      <c r="C170" s="4">
        <v>3.0019539549999998E-2</v>
      </c>
      <c r="D170" s="45">
        <f>(85*MID(A170,1,4)+8)/MID(A170,1,4)</f>
        <v>351.66666666666669</v>
      </c>
      <c r="E170" s="58">
        <f t="shared" si="21"/>
        <v>2.9983249999999996E-2</v>
      </c>
      <c r="F170" s="58">
        <f t="shared" si="22"/>
        <v>3.0016750000000002E-2</v>
      </c>
      <c r="G170" s="46">
        <f t="shared" si="23"/>
        <v>6.5131833333331265E-2</v>
      </c>
      <c r="H170" s="45">
        <f>(0.03*0.014+0.002*0.1)/0.03</f>
        <v>2.0666666666666667E-2</v>
      </c>
      <c r="I170" s="42">
        <f t="shared" si="24"/>
        <v>116.65402985074256</v>
      </c>
      <c r="J170" s="4">
        <v>171.38152482316141</v>
      </c>
      <c r="K170" t="s">
        <v>244</v>
      </c>
    </row>
    <row r="171" spans="1:11" ht="14.25" customHeight="1">
      <c r="A171" s="81" t="s">
        <v>248</v>
      </c>
      <c r="B171" s="82"/>
      <c r="C171" s="10">
        <v>3.0017967829999999E-2</v>
      </c>
      <c r="D171" s="42">
        <f>(85*MID(A171,1,4)+8)/MID(A171,1,4)</f>
        <v>351.66666666666669</v>
      </c>
      <c r="E171" s="57">
        <f t="shared" si="21"/>
        <v>2.9983249999999996E-2</v>
      </c>
      <c r="F171" s="57">
        <f t="shared" si="22"/>
        <v>3.0016750000000002E-2</v>
      </c>
      <c r="G171" s="43">
        <f t="shared" si="23"/>
        <v>5.9892766666666541E-2</v>
      </c>
      <c r="H171" s="42">
        <f>(0.03*0.014+0.002*0.1)/0.03</f>
        <v>2.0666666666666667E-2</v>
      </c>
      <c r="I171" s="42">
        <f t="shared" si="24"/>
        <v>107.27062686567143</v>
      </c>
      <c r="J171" s="10">
        <v>124.543412251978</v>
      </c>
      <c r="K171" t="s">
        <v>244</v>
      </c>
    </row>
    <row r="172" spans="1:11" ht="14.25" customHeight="1">
      <c r="A172" s="83" t="s">
        <v>249</v>
      </c>
      <c r="B172" s="82"/>
      <c r="C172" s="4">
        <v>3.001594933E-2</v>
      </c>
      <c r="D172" s="45">
        <f>(220*MID(A172,1,4)+5)/MID(A172,1,4)</f>
        <v>386.66666666666669</v>
      </c>
      <c r="E172" s="58">
        <f t="shared" si="21"/>
        <v>2.9977399999999998E-2</v>
      </c>
      <c r="F172" s="58">
        <f t="shared" si="22"/>
        <v>3.00226E-2</v>
      </c>
      <c r="G172" s="46">
        <f t="shared" si="23"/>
        <v>5.316443333333587E-2</v>
      </c>
      <c r="H172" s="45">
        <f>(0.03*0.03+0.002*0.1)/0.03</f>
        <v>3.6666666666666667E-2</v>
      </c>
      <c r="I172" s="42">
        <f t="shared" si="24"/>
        <v>70.572256637171506</v>
      </c>
      <c r="J172" s="4">
        <v>150.60827349621201</v>
      </c>
      <c r="K172" t="s">
        <v>250</v>
      </c>
    </row>
    <row r="173" spans="1:11" ht="14.25" customHeight="1">
      <c r="A173" s="81" t="s">
        <v>251</v>
      </c>
      <c r="B173" s="82"/>
      <c r="C173" s="10">
        <v>3.004733947E-2</v>
      </c>
      <c r="D173" s="42">
        <f>(500*MID(A173,1,4)+20)/MID(A173,1,4)</f>
        <v>1166.6666666666667</v>
      </c>
      <c r="E173" s="57">
        <f t="shared" si="21"/>
        <v>2.9938999999999997E-2</v>
      </c>
      <c r="F173" s="57">
        <f t="shared" si="22"/>
        <v>3.0061000000000001E-2</v>
      </c>
      <c r="G173" s="43">
        <f t="shared" si="23"/>
        <v>0.15779823333333712</v>
      </c>
      <c r="H173" s="42">
        <f>(0.03*0.08+0.002*0.1)/0.03</f>
        <v>8.666666666666667E-2</v>
      </c>
      <c r="I173" s="42">
        <f t="shared" si="24"/>
        <v>77.605688524592026</v>
      </c>
      <c r="J173" s="10">
        <v>298.78328759133768</v>
      </c>
      <c r="K173" t="s">
        <v>252</v>
      </c>
    </row>
    <row r="174" spans="1:11" ht="14.25" customHeight="1">
      <c r="A174" s="83" t="s">
        <v>253</v>
      </c>
      <c r="B174" s="82"/>
      <c r="C174" s="4">
        <v>2.995340887E-2</v>
      </c>
      <c r="D174" s="45">
        <f>(850*MID(A174,1,4)+25)/MID(A174,1,4)</f>
        <v>1683.3333333333335</v>
      </c>
      <c r="E174" s="58">
        <f t="shared" si="21"/>
        <v>2.9849500000000001E-2</v>
      </c>
      <c r="F174" s="58">
        <f t="shared" si="22"/>
        <v>3.0150499999999997E-2</v>
      </c>
      <c r="G174" s="46">
        <f t="shared" si="23"/>
        <v>-0.15530376666666318</v>
      </c>
      <c r="H174" s="45">
        <f>(0.03*0.3+0.01*0.1)/0.03</f>
        <v>0.33333333333333331</v>
      </c>
      <c r="I174" s="42">
        <f t="shared" si="24"/>
        <v>-30.957561461793322</v>
      </c>
      <c r="J174" s="4">
        <v>249.3759450584528</v>
      </c>
      <c r="K174" t="s">
        <v>254</v>
      </c>
    </row>
    <row r="175" spans="1:11" ht="14.25" customHeight="1">
      <c r="A175" s="81" t="s">
        <v>255</v>
      </c>
      <c r="B175" s="82"/>
      <c r="C175" s="10">
        <v>2.9911535320000002E-2</v>
      </c>
      <c r="D175" s="42">
        <f>(140*MID(A175,1,4)+30)/MID(A175,1,4)</f>
        <v>1140.0000000000002</v>
      </c>
      <c r="E175" s="57">
        <f t="shared" si="21"/>
        <v>2.9655799999999996E-2</v>
      </c>
      <c r="F175" s="57">
        <f t="shared" si="22"/>
        <v>3.0344200000000002E-2</v>
      </c>
      <c r="G175" s="43">
        <f t="shared" si="23"/>
        <v>-0.29488226666665729</v>
      </c>
      <c r="H175" s="42">
        <f>(0.03*1+0.01*0.1)/0.03</f>
        <v>1.0333333333333334</v>
      </c>
      <c r="I175" s="42">
        <f t="shared" si="24"/>
        <v>-25.701533991864373</v>
      </c>
      <c r="J175" s="10">
        <v>243.5388446868086</v>
      </c>
      <c r="K175" t="s">
        <v>256</v>
      </c>
    </row>
    <row r="176" spans="1:11" ht="14.25" customHeight="1">
      <c r="A176" s="83" t="s">
        <v>257</v>
      </c>
      <c r="B176" s="82"/>
      <c r="C176" s="4">
        <v>2.9855319870000001E-2</v>
      </c>
      <c r="D176" s="45">
        <f>(2700*MID(A176,1,4)+60)/MID(A176,1,4)</f>
        <v>4700</v>
      </c>
      <c r="E176" s="58">
        <f t="shared" si="21"/>
        <v>2.9548999999999999E-2</v>
      </c>
      <c r="F176" s="58">
        <f t="shared" si="22"/>
        <v>3.0450999999999999E-2</v>
      </c>
      <c r="G176" s="46">
        <f t="shared" si="23"/>
        <v>-0.48226709999999362</v>
      </c>
      <c r="H176" s="45">
        <f>(0.03*1+0.01*0.1)/0.03</f>
        <v>1.0333333333333334</v>
      </c>
      <c r="I176" s="42">
        <f t="shared" si="24"/>
        <v>-32.07985144124126</v>
      </c>
      <c r="J176" s="4">
        <v>172.071386066804</v>
      </c>
      <c r="K176" t="s">
        <v>258</v>
      </c>
    </row>
    <row r="177" spans="1:11" ht="14.25" customHeight="1">
      <c r="A177" s="81" t="s">
        <v>259</v>
      </c>
      <c r="B177" s="82"/>
      <c r="C177" s="10">
        <v>0.1000072493</v>
      </c>
      <c r="D177" s="42">
        <f>(250*MID(A177,1,4)+15)/MID(A177,1,4)</f>
        <v>400</v>
      </c>
      <c r="E177" s="57">
        <f t="shared" si="21"/>
        <v>9.994900000000001E-2</v>
      </c>
      <c r="F177" s="57">
        <f t="shared" si="22"/>
        <v>0.100051</v>
      </c>
      <c r="G177" s="43">
        <f t="shared" si="23"/>
        <v>7.2492999999979046E-3</v>
      </c>
      <c r="H177" s="42">
        <f>(0.1*0.007+0.004*0.1)/0.1</f>
        <v>1.0999999999999999E-2</v>
      </c>
      <c r="I177" s="42">
        <f t="shared" si="24"/>
        <v>14.214313725486086</v>
      </c>
      <c r="J177" s="10">
        <v>41.68756876101056</v>
      </c>
      <c r="K177" t="s">
        <v>260</v>
      </c>
    </row>
    <row r="178" spans="1:11" ht="14.25" customHeight="1">
      <c r="A178" s="83" t="s">
        <v>261</v>
      </c>
      <c r="B178" s="82"/>
      <c r="C178" s="4">
        <v>9.9999491339999996E-2</v>
      </c>
      <c r="D178" s="45">
        <f>(100*MID(A178,1,4)+8)/MID(A178,1,4)</f>
        <v>180</v>
      </c>
      <c r="E178" s="58">
        <f t="shared" si="21"/>
        <v>9.9971000000000004E-2</v>
      </c>
      <c r="F178" s="58">
        <f t="shared" si="22"/>
        <v>0.10002900000000001</v>
      </c>
      <c r="G178" s="46">
        <f t="shared" si="23"/>
        <v>-5.0866000000926448E-4</v>
      </c>
      <c r="H178" s="45">
        <f>(0.1*0.007+0.004*0.1)/0.1</f>
        <v>1.0999999999999999E-2</v>
      </c>
      <c r="I178" s="42">
        <f t="shared" si="24"/>
        <v>-1.7540000000319467</v>
      </c>
      <c r="J178" s="4">
        <v>63.935447911929842</v>
      </c>
      <c r="K178" t="s">
        <v>262</v>
      </c>
    </row>
    <row r="179" spans="1:11" ht="14.25" customHeight="1">
      <c r="A179" s="81" t="s">
        <v>263</v>
      </c>
      <c r="B179" s="82"/>
      <c r="C179" s="10">
        <v>9.9998751410000003E-2</v>
      </c>
      <c r="D179" s="42">
        <f>(85*MID(A179,1,4)+8)/MID(A179,1,4)</f>
        <v>165</v>
      </c>
      <c r="E179" s="57">
        <f t="shared" si="21"/>
        <v>9.9974500000000008E-2</v>
      </c>
      <c r="F179" s="57">
        <f t="shared" si="22"/>
        <v>0.1000255</v>
      </c>
      <c r="G179" s="43">
        <f t="shared" si="23"/>
        <v>-1.2485900000025474E-3</v>
      </c>
      <c r="H179" s="42">
        <f>(0.1*0.007+0.002*0.1)/0.1</f>
        <v>9.0000000000000011E-3</v>
      </c>
      <c r="I179" s="42">
        <f t="shared" si="24"/>
        <v>-4.8964313725590092</v>
      </c>
      <c r="J179" s="10">
        <v>62.648105272660047</v>
      </c>
      <c r="K179" t="s">
        <v>264</v>
      </c>
    </row>
    <row r="180" spans="1:11" ht="14.25" customHeight="1">
      <c r="A180" s="83" t="s">
        <v>265</v>
      </c>
      <c r="B180" s="82"/>
      <c r="C180" s="4">
        <v>9.9999065900000003E-2</v>
      </c>
      <c r="D180" s="45">
        <f>(85*MID(A180,1,4)+8)/MID(A180,1,4)</f>
        <v>165</v>
      </c>
      <c r="E180" s="58">
        <f t="shared" si="21"/>
        <v>9.9974500000000008E-2</v>
      </c>
      <c r="F180" s="58">
        <f t="shared" si="22"/>
        <v>0.1000255</v>
      </c>
      <c r="G180" s="46">
        <f t="shared" si="23"/>
        <v>-9.3410000000238025E-4</v>
      </c>
      <c r="H180" s="45">
        <f>(0.1*0.007+0.002*0.1)/0.1</f>
        <v>9.0000000000000011E-3</v>
      </c>
      <c r="I180" s="42">
        <f t="shared" si="24"/>
        <v>-3.663137254911295</v>
      </c>
      <c r="J180" s="4">
        <v>62.281855229087512</v>
      </c>
      <c r="K180" t="s">
        <v>264</v>
      </c>
    </row>
    <row r="181" spans="1:11" ht="14.25" customHeight="1">
      <c r="A181" s="81" t="s">
        <v>266</v>
      </c>
      <c r="B181" s="82"/>
      <c r="C181" s="10">
        <v>9.9998872850000003E-2</v>
      </c>
      <c r="D181" s="42">
        <f>(85*MID(A181,1,4)+8)/MID(A181,1,4)</f>
        <v>165</v>
      </c>
      <c r="E181" s="57">
        <f t="shared" si="21"/>
        <v>9.9974500000000008E-2</v>
      </c>
      <c r="F181" s="57">
        <f t="shared" si="22"/>
        <v>0.1000255</v>
      </c>
      <c r="G181" s="43">
        <f t="shared" si="23"/>
        <v>-1.1271500000020751E-3</v>
      </c>
      <c r="H181" s="42">
        <f>(0.1*0.007+0.002*0.1)/0.1</f>
        <v>9.0000000000000011E-3</v>
      </c>
      <c r="I181" s="42">
        <f t="shared" si="24"/>
        <v>-4.4201960784395098</v>
      </c>
      <c r="J181" s="10">
        <v>43.399478056134797</v>
      </c>
      <c r="K181" t="s">
        <v>264</v>
      </c>
    </row>
    <row r="182" spans="1:11" ht="14.25" customHeight="1">
      <c r="A182" s="83" t="s">
        <v>267</v>
      </c>
      <c r="B182" s="82"/>
      <c r="C182" s="4">
        <v>0.10000428510000001</v>
      </c>
      <c r="D182" s="45">
        <f>(85*MID(A182,1,4)+8)/MID(A182,1,4)</f>
        <v>165</v>
      </c>
      <c r="E182" s="58">
        <f t="shared" si="21"/>
        <v>9.9967500000000001E-2</v>
      </c>
      <c r="F182" s="58">
        <f t="shared" si="22"/>
        <v>0.10003250000000001</v>
      </c>
      <c r="G182" s="46">
        <f t="shared" si="23"/>
        <v>4.2851000000010409E-3</v>
      </c>
      <c r="H182" s="45">
        <f>(0.1*0.014+0.002*0.1)/0.1</f>
        <v>1.6E-2</v>
      </c>
      <c r="I182" s="42">
        <f t="shared" si="24"/>
        <v>13.18492307692628</v>
      </c>
      <c r="J182" s="4">
        <v>31.492730296944739</v>
      </c>
      <c r="K182" t="s">
        <v>264</v>
      </c>
    </row>
    <row r="183" spans="1:11" ht="14.25" customHeight="1">
      <c r="A183" s="81" t="s">
        <v>268</v>
      </c>
      <c r="B183" s="82"/>
      <c r="C183" s="10">
        <v>9.9999794160000002E-2</v>
      </c>
      <c r="D183" s="42">
        <f>(85*MID(A183,1,4)+8)/MID(A183,1,4)</f>
        <v>165</v>
      </c>
      <c r="E183" s="57">
        <f t="shared" si="21"/>
        <v>9.9967500000000001E-2</v>
      </c>
      <c r="F183" s="57">
        <f t="shared" si="22"/>
        <v>0.10003250000000001</v>
      </c>
      <c r="G183" s="43">
        <f t="shared" si="23"/>
        <v>-2.0584000000323233E-4</v>
      </c>
      <c r="H183" s="42">
        <f>(0.1*0.014+0.002*0.1)/0.1</f>
        <v>1.6E-2</v>
      </c>
      <c r="I183" s="42">
        <f t="shared" si="24"/>
        <v>-0.63335384616379176</v>
      </c>
      <c r="J183" s="10">
        <v>33.68205673917398</v>
      </c>
      <c r="K183" t="s">
        <v>264</v>
      </c>
    </row>
    <row r="184" spans="1:11" ht="14.25" customHeight="1">
      <c r="A184" s="83" t="s">
        <v>269</v>
      </c>
      <c r="B184" s="82"/>
      <c r="C184" s="4">
        <v>9.9995756699999994E-2</v>
      </c>
      <c r="D184" s="45">
        <f>(220*MID(A184,1,4)+8)/MID(A184,1,4)</f>
        <v>300</v>
      </c>
      <c r="E184" s="58">
        <f t="shared" si="21"/>
        <v>9.9937999999999999E-2</v>
      </c>
      <c r="F184" s="58">
        <f t="shared" si="22"/>
        <v>0.10006200000000001</v>
      </c>
      <c r="G184" s="46">
        <f t="shared" si="23"/>
        <v>-4.2433000000119403E-3</v>
      </c>
      <c r="H184" s="45">
        <f>(0.1*0.03+0.002*0.1)/0.1</f>
        <v>3.2000000000000001E-2</v>
      </c>
      <c r="I184" s="42">
        <f t="shared" si="24"/>
        <v>-6.8440322580837751</v>
      </c>
      <c r="J184" s="4">
        <v>27.598569172333811</v>
      </c>
      <c r="K184" t="s">
        <v>270</v>
      </c>
    </row>
    <row r="185" spans="1:11" ht="14.25" customHeight="1">
      <c r="A185" s="81" t="s">
        <v>271</v>
      </c>
      <c r="B185" s="82"/>
      <c r="C185" s="10">
        <v>9.996939564E-2</v>
      </c>
      <c r="D185" s="42">
        <f>(500*MID(A185,1,4)+20)/MID(A185,1,4)</f>
        <v>700</v>
      </c>
      <c r="E185" s="57">
        <f t="shared" ref="E185:E216" si="25">MID(A185,1,4)-MID(A185,1,4)*D185/1000000-MID(A185,1,4)*H185/100</f>
        <v>9.9848000000000006E-2</v>
      </c>
      <c r="F185" s="57">
        <f t="shared" ref="F185:F216" si="26">MID(A185,1,4)+MID(A185,1,4)*D185/1000000+MID(A185,1,4)*H185/100</f>
        <v>0.100152</v>
      </c>
      <c r="G185" s="43">
        <f t="shared" ref="G185:G216" si="27">(C185-MID(A185,1,4))*100/MID(A185,1,4)</f>
        <v>-3.0604360000005548E-2</v>
      </c>
      <c r="H185" s="42">
        <f>(0.1*0.08+0.002*0.1)/0.1</f>
        <v>8.2000000000000003E-2</v>
      </c>
      <c r="I185" s="42">
        <f t="shared" ref="I185:I216" si="28">G185*100/(H185+D185/10000)</f>
        <v>-20.134447368424699</v>
      </c>
      <c r="J185" s="10">
        <v>62.358680714370877</v>
      </c>
      <c r="K185" t="s">
        <v>231</v>
      </c>
    </row>
    <row r="186" spans="1:11" ht="14.25" customHeight="1">
      <c r="A186" s="83" t="s">
        <v>272</v>
      </c>
      <c r="B186" s="82"/>
      <c r="C186" s="4">
        <v>9.9774547630000002E-2</v>
      </c>
      <c r="D186" s="45">
        <f>(850*MID(A186,1,4)+30)/MID(A186,1,4)</f>
        <v>1150</v>
      </c>
      <c r="E186" s="58">
        <f t="shared" si="25"/>
        <v>9.9574999999999997E-2</v>
      </c>
      <c r="F186" s="58">
        <f t="shared" si="26"/>
        <v>0.10042500000000001</v>
      </c>
      <c r="G186" s="46">
        <f t="shared" si="27"/>
        <v>-0.22545237000000384</v>
      </c>
      <c r="H186" s="45">
        <f>(0.1*0.3+0.01*0.1)/0.1</f>
        <v>0.31</v>
      </c>
      <c r="I186" s="42">
        <f t="shared" si="28"/>
        <v>-53.047616470589141</v>
      </c>
      <c r="J186" s="4">
        <v>50.460384901059378</v>
      </c>
      <c r="K186" t="s">
        <v>233</v>
      </c>
    </row>
    <row r="187" spans="1:11" ht="14.25" customHeight="1">
      <c r="A187" s="81" t="s">
        <v>273</v>
      </c>
      <c r="B187" s="82"/>
      <c r="C187" s="10">
        <v>9.9622289840000003E-2</v>
      </c>
      <c r="D187" s="42">
        <f>(140*MID(A187,1,4)+30)/MID(A187,1,4)</f>
        <v>440</v>
      </c>
      <c r="E187" s="57">
        <f t="shared" si="25"/>
        <v>9.8946000000000006E-2</v>
      </c>
      <c r="F187" s="57">
        <f t="shared" si="26"/>
        <v>0.101054</v>
      </c>
      <c r="G187" s="43">
        <f t="shared" si="27"/>
        <v>-0.37771016000000268</v>
      </c>
      <c r="H187" s="42">
        <f>(0.1*1+0.01*0.1)/0.1</f>
        <v>1.01</v>
      </c>
      <c r="I187" s="42">
        <f t="shared" si="28"/>
        <v>-35.835878557875013</v>
      </c>
      <c r="J187" s="10">
        <v>49.750779818666018</v>
      </c>
      <c r="K187" t="s">
        <v>274</v>
      </c>
    </row>
    <row r="188" spans="1:11" ht="14.25" customHeight="1">
      <c r="A188" s="83" t="s">
        <v>275</v>
      </c>
      <c r="B188" s="82"/>
      <c r="C188" s="4">
        <v>9.951323309E-2</v>
      </c>
      <c r="D188" s="45">
        <f>(2700*MID(A188,1,4)+60)/MID(A188,1,4)</f>
        <v>3300</v>
      </c>
      <c r="E188" s="58">
        <f t="shared" si="25"/>
        <v>9.8660000000000012E-2</v>
      </c>
      <c r="F188" s="58">
        <f t="shared" si="26"/>
        <v>0.10134</v>
      </c>
      <c r="G188" s="46">
        <f t="shared" si="27"/>
        <v>-0.48676691000000549</v>
      </c>
      <c r="H188" s="45">
        <f>(0.1*1+0.01*0.1)/0.1</f>
        <v>1.01</v>
      </c>
      <c r="I188" s="42">
        <f t="shared" si="28"/>
        <v>-36.325888805970557</v>
      </c>
      <c r="J188" s="4">
        <v>38.965375220144537</v>
      </c>
      <c r="K188" t="s">
        <v>276</v>
      </c>
    </row>
    <row r="189" spans="1:11" ht="14.25" customHeight="1">
      <c r="A189" s="81" t="s">
        <v>277</v>
      </c>
      <c r="B189" s="82"/>
      <c r="C189" s="10">
        <v>0.30002550849999998</v>
      </c>
      <c r="D189" s="42">
        <f>(250*MID(A189,1,4)+50)/MID(A189,1,4)</f>
        <v>416.66666666666669</v>
      </c>
      <c r="E189" s="57">
        <f t="shared" si="25"/>
        <v>0.29981400000000002</v>
      </c>
      <c r="F189" s="57">
        <f t="shared" si="26"/>
        <v>0.30018599999999995</v>
      </c>
      <c r="G189" s="43">
        <f t="shared" si="27"/>
        <v>8.5028333333310915E-3</v>
      </c>
      <c r="H189" s="42">
        <f>(0.3*0.007+0.004*1)/0.3</f>
        <v>2.0333333333333332E-2</v>
      </c>
      <c r="I189" s="42">
        <f t="shared" si="28"/>
        <v>13.714247311824341</v>
      </c>
      <c r="J189" s="10">
        <v>23.40236262070464</v>
      </c>
      <c r="K189" t="s">
        <v>278</v>
      </c>
    </row>
    <row r="190" spans="1:11" ht="14.25" customHeight="1">
      <c r="A190" s="83" t="s">
        <v>279</v>
      </c>
      <c r="B190" s="82"/>
      <c r="C190" s="4">
        <v>0.3000214008</v>
      </c>
      <c r="D190" s="45">
        <f>(95*MID(A190,1,4)+20)/MID(A190,1,4)</f>
        <v>161.66666666666669</v>
      </c>
      <c r="E190" s="58">
        <f t="shared" si="25"/>
        <v>0.2998905</v>
      </c>
      <c r="F190" s="58">
        <f t="shared" si="26"/>
        <v>0.30010949999999997</v>
      </c>
      <c r="G190" s="46">
        <f t="shared" si="27"/>
        <v>7.1336000000051438E-3</v>
      </c>
      <c r="H190" s="45">
        <f>(0.3*0.007+0.004*1)/0.3</f>
        <v>2.0333333333333332E-2</v>
      </c>
      <c r="I190" s="42">
        <f t="shared" si="28"/>
        <v>19.544109589055186</v>
      </c>
      <c r="J190" s="4">
        <v>34.907858210814787</v>
      </c>
      <c r="K190" t="s">
        <v>280</v>
      </c>
    </row>
    <row r="191" spans="1:11" ht="14.25" customHeight="1">
      <c r="A191" s="81" t="s">
        <v>281</v>
      </c>
      <c r="B191" s="82"/>
      <c r="C191" s="10">
        <v>0.3000127273</v>
      </c>
      <c r="D191" s="42">
        <f>(45*MID(A191,1,4)+10)/MID(A191,1,4)</f>
        <v>78.333333333333343</v>
      </c>
      <c r="E191" s="57">
        <f t="shared" si="25"/>
        <v>0.29993549999999997</v>
      </c>
      <c r="F191" s="57">
        <f t="shared" si="26"/>
        <v>0.30006450000000001</v>
      </c>
      <c r="G191" s="43">
        <f t="shared" si="27"/>
        <v>4.2424333333383286E-3</v>
      </c>
      <c r="H191" s="42">
        <f>(0.3*0.007+0.002*1)/0.3</f>
        <v>1.3666666666666666E-2</v>
      </c>
      <c r="I191" s="42">
        <f t="shared" si="28"/>
        <v>19.732248062038739</v>
      </c>
      <c r="J191" s="10">
        <v>24.670941494949329</v>
      </c>
      <c r="K191" t="s">
        <v>282</v>
      </c>
    </row>
    <row r="192" spans="1:11" ht="14.25" customHeight="1">
      <c r="A192" s="83" t="s">
        <v>283</v>
      </c>
      <c r="B192" s="82"/>
      <c r="C192" s="4">
        <v>0.30000787690000003</v>
      </c>
      <c r="D192" s="45">
        <f>(45*MID(A192,1,4)+10)/MID(A192,1,4)</f>
        <v>78.333333333333343</v>
      </c>
      <c r="E192" s="58">
        <f t="shared" si="25"/>
        <v>0.29993549999999997</v>
      </c>
      <c r="F192" s="58">
        <f t="shared" si="26"/>
        <v>0.30006450000000001</v>
      </c>
      <c r="G192" s="46">
        <f t="shared" si="27"/>
        <v>2.6256333333455712E-3</v>
      </c>
      <c r="H192" s="45">
        <f>(0.3*0.007+0.002*1)/0.3</f>
        <v>1.3666666666666666E-2</v>
      </c>
      <c r="I192" s="42">
        <f t="shared" si="28"/>
        <v>12.212248062072424</v>
      </c>
      <c r="J192" s="4">
        <v>28.89721669583912</v>
      </c>
      <c r="K192" t="s">
        <v>282</v>
      </c>
    </row>
    <row r="193" spans="1:11" ht="14.25" customHeight="1">
      <c r="A193" s="81" t="s">
        <v>284</v>
      </c>
      <c r="B193" s="82"/>
      <c r="C193" s="10">
        <v>0.30001865640000003</v>
      </c>
      <c r="D193" s="42">
        <f>(45*MID(A193,1,4)+10)/MID(A193,1,4)</f>
        <v>78.333333333333343</v>
      </c>
      <c r="E193" s="57">
        <f t="shared" si="25"/>
        <v>0.29993549999999997</v>
      </c>
      <c r="F193" s="57">
        <f t="shared" si="26"/>
        <v>0.30006450000000001</v>
      </c>
      <c r="G193" s="43">
        <f t="shared" si="27"/>
        <v>6.2188000000129584E-3</v>
      </c>
      <c r="H193" s="42">
        <f>(0.3*0.007+0.002*1)/0.3</f>
        <v>1.3666666666666666E-2</v>
      </c>
      <c r="I193" s="42">
        <f t="shared" si="28"/>
        <v>28.924651162850971</v>
      </c>
      <c r="J193" s="10">
        <v>20.974197414465671</v>
      </c>
      <c r="K193" t="s">
        <v>282</v>
      </c>
    </row>
    <row r="194" spans="1:11" ht="14.25" customHeight="1">
      <c r="A194" s="83" t="s">
        <v>285</v>
      </c>
      <c r="B194" s="82"/>
      <c r="C194" s="4">
        <v>0.2999979679</v>
      </c>
      <c r="D194" s="45">
        <f>(45*MID(A194,1,4)+10)/MID(A194,1,4)</f>
        <v>78.333333333333343</v>
      </c>
      <c r="E194" s="58">
        <f t="shared" si="25"/>
        <v>0.29991449999999997</v>
      </c>
      <c r="F194" s="58">
        <f t="shared" si="26"/>
        <v>0.30008550000000001</v>
      </c>
      <c r="G194" s="46">
        <f t="shared" si="27"/>
        <v>-6.7736666666447698E-4</v>
      </c>
      <c r="H194" s="45">
        <f>(0.3*0.014+0.002*1)/0.3</f>
        <v>2.0666666666666667E-2</v>
      </c>
      <c r="I194" s="42">
        <f t="shared" si="28"/>
        <v>-2.3767251461911476</v>
      </c>
      <c r="J194" s="4">
        <v>19.737729634229218</v>
      </c>
      <c r="K194" t="s">
        <v>282</v>
      </c>
    </row>
    <row r="195" spans="1:11" ht="14.25" customHeight="1">
      <c r="A195" s="81" t="s">
        <v>286</v>
      </c>
      <c r="B195" s="82"/>
      <c r="C195" s="10">
        <v>0.29997908709999999</v>
      </c>
      <c r="D195" s="42">
        <f>(45*MID(A195,1,4)+10)/MID(A195,1,4)</f>
        <v>78.333333333333343</v>
      </c>
      <c r="E195" s="57">
        <f t="shared" si="25"/>
        <v>0.29991449999999997</v>
      </c>
      <c r="F195" s="57">
        <f t="shared" si="26"/>
        <v>0.30008550000000001</v>
      </c>
      <c r="G195" s="43">
        <f t="shared" si="27"/>
        <v>-6.9709666666676702E-3</v>
      </c>
      <c r="H195" s="42">
        <f>(0.3*0.014+0.002*1)/0.3</f>
        <v>2.0666666666666667E-2</v>
      </c>
      <c r="I195" s="42">
        <f t="shared" si="28"/>
        <v>-24.459532163746211</v>
      </c>
      <c r="J195" s="10">
        <v>12.431526395166999</v>
      </c>
      <c r="K195" t="s">
        <v>282</v>
      </c>
    </row>
    <row r="196" spans="1:11" ht="14.25" customHeight="1">
      <c r="A196" s="83" t="s">
        <v>287</v>
      </c>
      <c r="B196" s="82"/>
      <c r="C196" s="4">
        <v>0.30001061680000002</v>
      </c>
      <c r="D196" s="45">
        <f>(80*MID(A196,1,4)+12)/MID(A196,1,4)</f>
        <v>120</v>
      </c>
      <c r="E196" s="58">
        <f t="shared" si="25"/>
        <v>0.29985400000000001</v>
      </c>
      <c r="F196" s="58">
        <f t="shared" si="26"/>
        <v>0.30014599999999997</v>
      </c>
      <c r="G196" s="46">
        <f t="shared" si="27"/>
        <v>3.5389333333431714E-3</v>
      </c>
      <c r="H196" s="45">
        <f>(0.3*0.03+0.002*1)/0.3</f>
        <v>3.6666666666666667E-2</v>
      </c>
      <c r="I196" s="42">
        <f t="shared" si="28"/>
        <v>7.271780821938024</v>
      </c>
      <c r="J196" s="4">
        <v>20.615270394478049</v>
      </c>
      <c r="K196" t="s">
        <v>288</v>
      </c>
    </row>
    <row r="197" spans="1:11" ht="14.25" customHeight="1">
      <c r="A197" s="81" t="s">
        <v>289</v>
      </c>
      <c r="B197" s="82"/>
      <c r="C197" s="10">
        <v>0.30004331969999998</v>
      </c>
      <c r="D197" s="42">
        <f>(120*MID(A197,1,4)+40)/MID(A197,1,4)</f>
        <v>253.33333333333334</v>
      </c>
      <c r="E197" s="57">
        <f t="shared" si="25"/>
        <v>0.29966399999999999</v>
      </c>
      <c r="F197" s="57">
        <f t="shared" si="26"/>
        <v>0.30033599999999999</v>
      </c>
      <c r="G197" s="43">
        <f t="shared" si="27"/>
        <v>1.4439899999996175E-2</v>
      </c>
      <c r="H197" s="42">
        <f>(0.3*0.08+0.002*1)/0.3</f>
        <v>8.6666666666666684E-2</v>
      </c>
      <c r="I197" s="42">
        <f t="shared" si="28"/>
        <v>12.89276785713944</v>
      </c>
      <c r="J197" s="10">
        <v>35.928714305616722</v>
      </c>
      <c r="K197" t="s">
        <v>290</v>
      </c>
    </row>
    <row r="198" spans="1:11" ht="14.25" customHeight="1">
      <c r="A198" s="83" t="s">
        <v>291</v>
      </c>
      <c r="B198" s="82"/>
      <c r="C198" s="4">
        <v>0.30032637080000002</v>
      </c>
      <c r="D198" s="45">
        <f>(380*MID(A198,1,4)+100)/MID(A198,1,4)</f>
        <v>713.33333333333337</v>
      </c>
      <c r="E198" s="58">
        <f t="shared" si="25"/>
        <v>0.298786</v>
      </c>
      <c r="F198" s="58">
        <f t="shared" si="26"/>
        <v>0.30121399999999998</v>
      </c>
      <c r="G198" s="46">
        <f t="shared" si="27"/>
        <v>0.10879026666667699</v>
      </c>
      <c r="H198" s="45">
        <f>(0.3*0.3+0.01*1)/0.3</f>
        <v>0.33333333333333331</v>
      </c>
      <c r="I198" s="42">
        <f t="shared" si="28"/>
        <v>26.883920922572571</v>
      </c>
      <c r="J198" s="4">
        <v>18.338188348650849</v>
      </c>
      <c r="K198" t="s">
        <v>292</v>
      </c>
    </row>
    <row r="199" spans="1:11" ht="14.25" customHeight="1">
      <c r="A199" s="81" t="s">
        <v>293</v>
      </c>
      <c r="B199" s="82"/>
      <c r="C199" s="10">
        <v>0.30085362970000001</v>
      </c>
      <c r="D199" s="42">
        <f>(1000*MID(A199,1,4)+250)/MID(A199,1,4)</f>
        <v>1833.3333333333335</v>
      </c>
      <c r="E199" s="57">
        <f t="shared" si="25"/>
        <v>0.29635</v>
      </c>
      <c r="F199" s="57">
        <f t="shared" si="26"/>
        <v>0.30364999999999998</v>
      </c>
      <c r="G199" s="43">
        <f t="shared" si="27"/>
        <v>0.28454323333334164</v>
      </c>
      <c r="H199" s="42">
        <f>(0.3*1+0.01*1)/0.3</f>
        <v>1.0333333333333334</v>
      </c>
      <c r="I199" s="42">
        <f t="shared" si="28"/>
        <v>23.387115068493831</v>
      </c>
      <c r="J199" s="10">
        <v>26.920381222503</v>
      </c>
      <c r="K199" t="s">
        <v>294</v>
      </c>
    </row>
    <row r="200" spans="1:11" ht="14.25" customHeight="1">
      <c r="A200" s="83" t="s">
        <v>295</v>
      </c>
      <c r="B200" s="82"/>
      <c r="C200" s="4">
        <v>0.30221965020000002</v>
      </c>
      <c r="D200" s="45">
        <f>(1600*MID(A200,1,4)+400)/MID(A200,1,4)</f>
        <v>2933.3333333333335</v>
      </c>
      <c r="E200" s="58">
        <f t="shared" si="25"/>
        <v>0.29602000000000001</v>
      </c>
      <c r="F200" s="58">
        <f t="shared" si="26"/>
        <v>0.30397999999999997</v>
      </c>
      <c r="G200" s="46">
        <f t="shared" si="27"/>
        <v>0.7398834000000114</v>
      </c>
      <c r="H200" s="45">
        <f>(0.3*1+0.01*1)/0.3</f>
        <v>1.0333333333333334</v>
      </c>
      <c r="I200" s="42">
        <f t="shared" si="28"/>
        <v>55.770105527639053</v>
      </c>
      <c r="J200" s="4">
        <v>15.816883423935259</v>
      </c>
      <c r="K200" t="s">
        <v>296</v>
      </c>
    </row>
    <row r="201" spans="1:11" ht="14.25" customHeight="1">
      <c r="A201" s="81" t="s">
        <v>297</v>
      </c>
      <c r="B201" s="82"/>
      <c r="C201" s="10">
        <v>1.0000647389999999</v>
      </c>
      <c r="D201" s="42">
        <f>(250*MID(A201,1,4)+50)/MID(A201,1,4)</f>
        <v>300</v>
      </c>
      <c r="E201" s="57">
        <f t="shared" si="25"/>
        <v>0.99958999999999998</v>
      </c>
      <c r="F201" s="57">
        <f t="shared" si="26"/>
        <v>1.00041</v>
      </c>
      <c r="G201" s="43">
        <f t="shared" si="27"/>
        <v>6.4738999999924829E-3</v>
      </c>
      <c r="H201" s="42">
        <f>(1*0.007+0.004*1)/1</f>
        <v>1.0999999999999999E-2</v>
      </c>
      <c r="I201" s="42">
        <f t="shared" si="28"/>
        <v>15.789999999981667</v>
      </c>
      <c r="J201" s="10">
        <v>12.94443380197926</v>
      </c>
      <c r="K201" t="s">
        <v>270</v>
      </c>
    </row>
    <row r="202" spans="1:11" ht="14.25" customHeight="1">
      <c r="A202" s="83" t="s">
        <v>298</v>
      </c>
      <c r="B202" s="82"/>
      <c r="C202" s="4">
        <v>1.0000271140000001</v>
      </c>
      <c r="D202" s="45">
        <f>(95*MID(A202,1,4)+20)/MID(A202,1,4)</f>
        <v>115</v>
      </c>
      <c r="E202" s="58">
        <f t="shared" si="25"/>
        <v>0.99977499999999997</v>
      </c>
      <c r="F202" s="58">
        <f t="shared" si="26"/>
        <v>1.0002250000000001</v>
      </c>
      <c r="G202" s="46">
        <f t="shared" si="27"/>
        <v>2.7114000000105776E-3</v>
      </c>
      <c r="H202" s="45">
        <f>(1*0.007+0.004*1)/1</f>
        <v>1.0999999999999999E-2</v>
      </c>
      <c r="I202" s="42">
        <f t="shared" si="28"/>
        <v>12.050666666713678</v>
      </c>
      <c r="J202" s="4">
        <v>9.3671614944784931</v>
      </c>
      <c r="K202" t="s">
        <v>299</v>
      </c>
    </row>
    <row r="203" spans="1:11" ht="14.25" customHeight="1">
      <c r="A203" s="81" t="s">
        <v>300</v>
      </c>
      <c r="B203" s="82"/>
      <c r="C203" s="10">
        <v>1.000028339</v>
      </c>
      <c r="D203" s="42">
        <f>(45*MID(A203,1,4)+10)/MID(A203,1,4)</f>
        <v>55</v>
      </c>
      <c r="E203" s="57">
        <f t="shared" si="25"/>
        <v>0.99985499999999994</v>
      </c>
      <c r="F203" s="57">
        <f t="shared" si="26"/>
        <v>1.0001449999999998</v>
      </c>
      <c r="G203" s="43">
        <f t="shared" si="27"/>
        <v>2.8338999999988346E-3</v>
      </c>
      <c r="H203" s="42">
        <f>(1*0.007+0.002*1)/1</f>
        <v>9.0000000000000011E-3</v>
      </c>
      <c r="I203" s="42">
        <f t="shared" si="28"/>
        <v>19.544137931026444</v>
      </c>
      <c r="J203" s="10">
        <v>3.3580443179631758</v>
      </c>
      <c r="K203" t="s">
        <v>301</v>
      </c>
    </row>
    <row r="204" spans="1:11" ht="14.25" customHeight="1">
      <c r="A204" s="83" t="s">
        <v>302</v>
      </c>
      <c r="B204" s="82"/>
      <c r="C204" s="4">
        <v>1.0000128779999999</v>
      </c>
      <c r="D204" s="45">
        <f>(45*MID(A204,1,4)+10)/MID(A204,1,4)</f>
        <v>55</v>
      </c>
      <c r="E204" s="58">
        <f t="shared" si="25"/>
        <v>0.99985499999999994</v>
      </c>
      <c r="F204" s="58">
        <f t="shared" si="26"/>
        <v>1.0001449999999998</v>
      </c>
      <c r="G204" s="46">
        <f t="shared" si="27"/>
        <v>1.2877999999938439E-3</v>
      </c>
      <c r="H204" s="45">
        <f>(1*0.007+0.002*1)/1</f>
        <v>9.0000000000000011E-3</v>
      </c>
      <c r="I204" s="42">
        <f t="shared" si="28"/>
        <v>8.8813793103023713</v>
      </c>
      <c r="J204" s="4">
        <v>7.2375949899333989</v>
      </c>
      <c r="K204" t="s">
        <v>301</v>
      </c>
    </row>
    <row r="205" spans="1:11" ht="14.25" customHeight="1">
      <c r="A205" s="81" t="s">
        <v>303</v>
      </c>
      <c r="B205" s="82"/>
      <c r="C205" s="10">
        <v>1.0000312140000001</v>
      </c>
      <c r="D205" s="42">
        <f>(45*MID(A205,1,4)+10)/MID(A205,1,4)</f>
        <v>55</v>
      </c>
      <c r="E205" s="57">
        <f t="shared" si="25"/>
        <v>0.99985499999999994</v>
      </c>
      <c r="F205" s="57">
        <f t="shared" si="26"/>
        <v>1.0001449999999998</v>
      </c>
      <c r="G205" s="43">
        <f t="shared" si="27"/>
        <v>3.121400000005714E-3</v>
      </c>
      <c r="H205" s="42">
        <f>(1*0.007+0.002*1)/1</f>
        <v>9.0000000000000011E-3</v>
      </c>
      <c r="I205" s="42">
        <f t="shared" si="28"/>
        <v>21.526896551763546</v>
      </c>
      <c r="J205" s="10">
        <v>7.4642830152513264</v>
      </c>
      <c r="K205" t="s">
        <v>301</v>
      </c>
    </row>
    <row r="206" spans="1:11" ht="14.25" customHeight="1">
      <c r="A206" s="83" t="s">
        <v>304</v>
      </c>
      <c r="B206" s="82"/>
      <c r="C206" s="4">
        <v>0.99996236260000004</v>
      </c>
      <c r="D206" s="45">
        <f>(45*MID(A206,1,4)+10)/MID(A206,1,4)</f>
        <v>55</v>
      </c>
      <c r="E206" s="58">
        <f t="shared" si="25"/>
        <v>0.99978499999999992</v>
      </c>
      <c r="F206" s="58">
        <f t="shared" si="26"/>
        <v>1.0002149999999999</v>
      </c>
      <c r="G206" s="46">
        <f t="shared" si="27"/>
        <v>-3.7637399999956855E-3</v>
      </c>
      <c r="H206" s="45">
        <f>(1*0.014+0.002*1)/1</f>
        <v>1.6E-2</v>
      </c>
      <c r="I206" s="42">
        <f t="shared" si="28"/>
        <v>-17.505767441840398</v>
      </c>
      <c r="J206" s="4">
        <v>5.1533373302276004</v>
      </c>
      <c r="K206" t="s">
        <v>301</v>
      </c>
    </row>
    <row r="207" spans="1:11" ht="14.25" customHeight="1">
      <c r="A207" s="81" t="s">
        <v>305</v>
      </c>
      <c r="B207" s="82"/>
      <c r="C207" s="10">
        <v>0.99992478230000004</v>
      </c>
      <c r="D207" s="42">
        <f>(45*MID(A207,1,4)+10)/MID(A207,1,4)</f>
        <v>55</v>
      </c>
      <c r="E207" s="57">
        <f t="shared" si="25"/>
        <v>0.99978499999999992</v>
      </c>
      <c r="F207" s="57">
        <f t="shared" si="26"/>
        <v>1.0002149999999999</v>
      </c>
      <c r="G207" s="43">
        <f t="shared" si="27"/>
        <v>-7.5217699999963195E-3</v>
      </c>
      <c r="H207" s="42">
        <f>(1*0.014+0.002*1)/1</f>
        <v>1.6E-2</v>
      </c>
      <c r="I207" s="42">
        <f t="shared" si="28"/>
        <v>-34.984976744168932</v>
      </c>
      <c r="J207" s="10">
        <v>5.0623883093671296</v>
      </c>
      <c r="K207" t="s">
        <v>301</v>
      </c>
    </row>
    <row r="208" spans="1:11" ht="14.25" customHeight="1">
      <c r="A208" s="83" t="s">
        <v>306</v>
      </c>
      <c r="B208" s="82"/>
      <c r="C208" s="4">
        <v>0.99999035179999995</v>
      </c>
      <c r="D208" s="45">
        <f>(80*MID(A208,1,4)+12)/MID(A208,1,4)</f>
        <v>92</v>
      </c>
      <c r="E208" s="58">
        <f t="shared" si="25"/>
        <v>0.99958800000000003</v>
      </c>
      <c r="F208" s="58">
        <f t="shared" si="26"/>
        <v>1.0004120000000001</v>
      </c>
      <c r="G208" s="46">
        <f t="shared" si="27"/>
        <v>-9.6482000000452928E-4</v>
      </c>
      <c r="H208" s="45">
        <f>(1*0.03+0.002*1)/1</f>
        <v>3.2000000000000001E-2</v>
      </c>
      <c r="I208" s="42">
        <f t="shared" si="28"/>
        <v>-2.3417961165158476</v>
      </c>
      <c r="J208" s="4">
        <v>4.6642584699188951</v>
      </c>
      <c r="K208" t="s">
        <v>204</v>
      </c>
    </row>
    <row r="209" spans="1:11" ht="14.25" customHeight="1">
      <c r="A209" s="81" t="s">
        <v>307</v>
      </c>
      <c r="B209" s="82"/>
      <c r="C209" s="10">
        <v>1.000051679</v>
      </c>
      <c r="D209" s="42">
        <f>(120*MID(A209,1,4)+4)/MID(A209,1,4)</f>
        <v>124</v>
      </c>
      <c r="E209" s="57">
        <f t="shared" si="25"/>
        <v>0.99905599999999994</v>
      </c>
      <c r="F209" s="57">
        <f t="shared" si="26"/>
        <v>1.0009440000000001</v>
      </c>
      <c r="G209" s="43">
        <f t="shared" si="27"/>
        <v>5.1679000000026676E-3</v>
      </c>
      <c r="H209" s="42">
        <f>(1*0.08+0.002*1)/1</f>
        <v>8.2000000000000003E-2</v>
      </c>
      <c r="I209" s="42">
        <f t="shared" si="28"/>
        <v>5.4744703389858769</v>
      </c>
      <c r="J209" s="10">
        <v>9.2007293656940359</v>
      </c>
      <c r="K209" t="s">
        <v>308</v>
      </c>
    </row>
    <row r="210" spans="1:11" ht="14.25" customHeight="1">
      <c r="A210" s="83" t="s">
        <v>309</v>
      </c>
      <c r="B210" s="82"/>
      <c r="C210" s="4">
        <v>1.001079512</v>
      </c>
      <c r="D210" s="45">
        <f>(380*MID(A210,1,4)+100)/MID(A210,1,4)</f>
        <v>480</v>
      </c>
      <c r="E210" s="58">
        <f t="shared" si="25"/>
        <v>0.99641999999999997</v>
      </c>
      <c r="F210" s="58">
        <f t="shared" si="26"/>
        <v>1.0035800000000001</v>
      </c>
      <c r="G210" s="46">
        <f t="shared" si="27"/>
        <v>0.10795120000000047</v>
      </c>
      <c r="H210" s="45">
        <f>(1*0.3+0.01*1)/1</f>
        <v>0.31</v>
      </c>
      <c r="I210" s="42">
        <f t="shared" si="28"/>
        <v>30.15396648044706</v>
      </c>
      <c r="J210" s="4">
        <v>7.7784374975774471</v>
      </c>
      <c r="K210" t="s">
        <v>310</v>
      </c>
    </row>
    <row r="211" spans="1:11" ht="14.25" customHeight="1">
      <c r="A211" s="81" t="s">
        <v>311</v>
      </c>
      <c r="B211" s="82"/>
      <c r="C211" s="10">
        <v>1.0028304640000001</v>
      </c>
      <c r="D211" s="42">
        <f>(1000*MID(A211,1,4)+250)/MID(A211,1,4)</f>
        <v>1250</v>
      </c>
      <c r="E211" s="57">
        <f t="shared" si="25"/>
        <v>0.98865000000000003</v>
      </c>
      <c r="F211" s="57">
        <f t="shared" si="26"/>
        <v>1.01135</v>
      </c>
      <c r="G211" s="43">
        <f t="shared" si="27"/>
        <v>0.2830464000000088</v>
      </c>
      <c r="H211" s="42">
        <f>(1*1+0.01*1)/1</f>
        <v>1.01</v>
      </c>
      <c r="I211" s="42">
        <f t="shared" si="28"/>
        <v>24.938008810573464</v>
      </c>
      <c r="J211" s="10">
        <v>8.2711752238895411</v>
      </c>
      <c r="K211" t="s">
        <v>312</v>
      </c>
    </row>
    <row r="212" spans="1:11" ht="14.25" customHeight="1">
      <c r="A212" s="83" t="s">
        <v>313</v>
      </c>
      <c r="B212" s="82"/>
      <c r="C212" s="4">
        <v>1.0076366640000001</v>
      </c>
      <c r="D212" s="45">
        <f>(1600*MID(A212,1,4)+400)/MID(A212,1,4)</f>
        <v>2000</v>
      </c>
      <c r="E212" s="58">
        <f t="shared" si="25"/>
        <v>0.9879</v>
      </c>
      <c r="F212" s="58">
        <f t="shared" si="26"/>
        <v>1.0121</v>
      </c>
      <c r="G212" s="46">
        <f t="shared" si="27"/>
        <v>0.76366640000000707</v>
      </c>
      <c r="H212" s="45">
        <f>(1*1+0.01*1)/1</f>
        <v>1.01</v>
      </c>
      <c r="I212" s="42">
        <f t="shared" si="28"/>
        <v>63.112925619835295</v>
      </c>
      <c r="J212" s="4">
        <v>7.933755405356842</v>
      </c>
      <c r="K212" t="s">
        <v>206</v>
      </c>
    </row>
    <row r="213" spans="1:11" ht="14.25" customHeight="1">
      <c r="A213" s="81" t="s">
        <v>314</v>
      </c>
      <c r="B213" s="82"/>
      <c r="C213" s="10">
        <v>3.0002649639999999</v>
      </c>
      <c r="D213" s="42">
        <f>(250*MID(A213,1,4)+500)/MID(A213,1,4)</f>
        <v>416.66666666666669</v>
      </c>
      <c r="E213" s="57">
        <f t="shared" si="25"/>
        <v>2.9981399999999998</v>
      </c>
      <c r="F213" s="57">
        <f t="shared" si="26"/>
        <v>3.0018600000000002</v>
      </c>
      <c r="G213" s="43">
        <f t="shared" si="27"/>
        <v>8.8321333333289207E-3</v>
      </c>
      <c r="H213" s="42">
        <f>(3*0.007+0.004*10)/3</f>
        <v>2.0333333333333332E-2</v>
      </c>
      <c r="I213" s="42">
        <f t="shared" si="28"/>
        <v>14.245376344078904</v>
      </c>
      <c r="J213" s="10">
        <v>18.45797541774461</v>
      </c>
      <c r="K213" t="s">
        <v>278</v>
      </c>
    </row>
    <row r="214" spans="1:11" ht="14.25" customHeight="1">
      <c r="A214" s="83" t="s">
        <v>315</v>
      </c>
      <c r="B214" s="82"/>
      <c r="C214" s="4">
        <v>3.0002012050000002</v>
      </c>
      <c r="D214" s="45">
        <f>(95*MID(A214,1,4)+200)/MID(A214,1,4)</f>
        <v>161.66666666666666</v>
      </c>
      <c r="E214" s="58">
        <f t="shared" si="25"/>
        <v>2.9989050000000002</v>
      </c>
      <c r="F214" s="58">
        <f t="shared" si="26"/>
        <v>3.0010949999999998</v>
      </c>
      <c r="G214" s="46">
        <f t="shared" si="27"/>
        <v>6.7068333333401382E-3</v>
      </c>
      <c r="H214" s="45">
        <f>(3*0.007+0.004*10)/3</f>
        <v>2.0333333333333332E-2</v>
      </c>
      <c r="I214" s="42">
        <f t="shared" si="28"/>
        <v>18.374885844767505</v>
      </c>
      <c r="J214" s="4">
        <v>16.253881583195231</v>
      </c>
      <c r="K214" t="s">
        <v>280</v>
      </c>
    </row>
    <row r="215" spans="1:11" ht="14.25" customHeight="1">
      <c r="A215" s="81" t="s">
        <v>316</v>
      </c>
      <c r="B215" s="82"/>
      <c r="C215" s="10">
        <v>3.000135089</v>
      </c>
      <c r="D215" s="42">
        <f>(45*MID(A215,1,4)+70)/MID(A215,1,4)</f>
        <v>68.333333333333329</v>
      </c>
      <c r="E215" s="57">
        <f t="shared" si="25"/>
        <v>2.9993850000000002</v>
      </c>
      <c r="F215" s="57">
        <f t="shared" si="26"/>
        <v>3.0006149999999998</v>
      </c>
      <c r="G215" s="43">
        <f t="shared" si="27"/>
        <v>4.5029666666677555E-3</v>
      </c>
      <c r="H215" s="42">
        <f>(3*0.007+0.002*10)/3</f>
        <v>1.3666666666666667E-2</v>
      </c>
      <c r="I215" s="42">
        <f t="shared" si="28"/>
        <v>21.96569105691588</v>
      </c>
      <c r="J215" s="10">
        <v>6.2037382956196394</v>
      </c>
      <c r="K215" t="s">
        <v>317</v>
      </c>
    </row>
    <row r="216" spans="1:11" ht="14.25" customHeight="1">
      <c r="A216" s="83" t="s">
        <v>318</v>
      </c>
      <c r="B216" s="82"/>
      <c r="C216" s="4">
        <v>3.0001077020000002</v>
      </c>
      <c r="D216" s="45">
        <f>(45*MID(A216,1,4)+70)/MID(A216,1,4)</f>
        <v>68.333333333333329</v>
      </c>
      <c r="E216" s="58">
        <f t="shared" si="25"/>
        <v>2.9993850000000002</v>
      </c>
      <c r="F216" s="58">
        <f t="shared" si="26"/>
        <v>3.0006149999999998</v>
      </c>
      <c r="G216" s="46">
        <f t="shared" si="27"/>
        <v>3.5900666666736449E-3</v>
      </c>
      <c r="H216" s="45">
        <f>(3*0.007+0.002*10)/3</f>
        <v>1.3666666666666667E-2</v>
      </c>
      <c r="I216" s="42">
        <f t="shared" si="28"/>
        <v>17.51252032523729</v>
      </c>
      <c r="J216" s="4">
        <v>14.330162459835121</v>
      </c>
      <c r="K216" t="s">
        <v>317</v>
      </c>
    </row>
    <row r="217" spans="1:11" ht="14.25" customHeight="1">
      <c r="A217" s="81" t="s">
        <v>319</v>
      </c>
      <c r="B217" s="82"/>
      <c r="C217" s="10">
        <v>3.000159279</v>
      </c>
      <c r="D217" s="42">
        <f>(45*MID(A217,1,4)+70)/MID(A217,1,4)</f>
        <v>68.333333333333329</v>
      </c>
      <c r="E217" s="57">
        <f t="shared" ref="E217:E248" si="29">MID(A217,1,4)-MID(A217,1,4)*D217/1000000-MID(A217,1,4)*H217/100</f>
        <v>2.9993850000000002</v>
      </c>
      <c r="F217" s="57">
        <f t="shared" ref="F217:F248" si="30">MID(A217,1,4)+MID(A217,1,4)*D217/1000000+MID(A217,1,4)*H217/100</f>
        <v>3.0006149999999998</v>
      </c>
      <c r="G217" s="43">
        <f t="shared" ref="G217:G248" si="31">(C217-MID(A217,1,4))*100/MID(A217,1,4)</f>
        <v>5.3093000000004054E-3</v>
      </c>
      <c r="H217" s="42">
        <f>(3*0.007+0.002*10)/3</f>
        <v>1.3666666666666667E-2</v>
      </c>
      <c r="I217" s="42">
        <f t="shared" ref="I217:I248" si="32">G217*100/(H217+D217/10000)</f>
        <v>25.899024390245877</v>
      </c>
      <c r="J217" s="10">
        <v>7.8371582448334403</v>
      </c>
      <c r="K217" t="s">
        <v>317</v>
      </c>
    </row>
    <row r="218" spans="1:11" ht="14.25" customHeight="1">
      <c r="A218" s="83" t="s">
        <v>320</v>
      </c>
      <c r="B218" s="82"/>
      <c r="C218" s="4">
        <v>2.99997501</v>
      </c>
      <c r="D218" s="45">
        <f>(45*MID(A218,1,4)+70)/MID(A218,1,4)</f>
        <v>68.333333333333329</v>
      </c>
      <c r="E218" s="58">
        <f t="shared" si="29"/>
        <v>2.9991750000000001</v>
      </c>
      <c r="F218" s="58">
        <f t="shared" si="30"/>
        <v>3.0008249999999999</v>
      </c>
      <c r="G218" s="46">
        <f t="shared" si="31"/>
        <v>-8.3300000000008367E-4</v>
      </c>
      <c r="H218" s="45">
        <f>(3*0.014+0.002*10)/3</f>
        <v>2.0666666666666667E-2</v>
      </c>
      <c r="I218" s="42">
        <f t="shared" si="32"/>
        <v>-3.0290909090912135</v>
      </c>
      <c r="J218" s="4">
        <v>4.7553180590893778</v>
      </c>
      <c r="K218" t="s">
        <v>317</v>
      </c>
    </row>
    <row r="219" spans="1:11" ht="14.25" customHeight="1">
      <c r="A219" s="81" t="s">
        <v>321</v>
      </c>
      <c r="B219" s="82"/>
      <c r="C219" s="10">
        <v>2.999917457</v>
      </c>
      <c r="D219" s="42">
        <f>(45*MID(A219,1,4)+70)/MID(A219,1,4)</f>
        <v>68.333333333333329</v>
      </c>
      <c r="E219" s="57">
        <f t="shared" si="29"/>
        <v>2.9991750000000001</v>
      </c>
      <c r="F219" s="57">
        <f t="shared" si="30"/>
        <v>3.0008249999999999</v>
      </c>
      <c r="G219" s="43">
        <f t="shared" si="31"/>
        <v>-2.7514333333330163E-3</v>
      </c>
      <c r="H219" s="42">
        <f>(3*0.014+0.002*10)/3</f>
        <v>2.0666666666666667E-2</v>
      </c>
      <c r="I219" s="42">
        <f t="shared" si="32"/>
        <v>-10.005212121210969</v>
      </c>
      <c r="J219" s="10">
        <v>4.6647033013520707</v>
      </c>
      <c r="K219" t="s">
        <v>317</v>
      </c>
    </row>
    <row r="220" spans="1:11" ht="14.25" customHeight="1">
      <c r="A220" s="83" t="s">
        <v>322</v>
      </c>
      <c r="B220" s="82"/>
      <c r="C220" s="4">
        <v>2.99992422</v>
      </c>
      <c r="D220" s="45">
        <f>(80*MID(A220,1,4)+120)/MID(A220,1,4)</f>
        <v>120</v>
      </c>
      <c r="E220" s="58">
        <f t="shared" si="29"/>
        <v>2.9985399999999998</v>
      </c>
      <c r="F220" s="58">
        <f t="shared" si="30"/>
        <v>3.0014600000000002</v>
      </c>
      <c r="G220" s="46">
        <f t="shared" si="31"/>
        <v>-2.5259999999989922E-3</v>
      </c>
      <c r="H220" s="45">
        <f>(3*0.03+0.002*10)/3</f>
        <v>3.6666666666666667E-2</v>
      </c>
      <c r="I220" s="42">
        <f t="shared" si="32"/>
        <v>-5.1904109589020395</v>
      </c>
      <c r="J220" s="4">
        <v>16.00667267511357</v>
      </c>
      <c r="K220" t="s">
        <v>288</v>
      </c>
    </row>
    <row r="221" spans="1:11" ht="14.25" customHeight="1">
      <c r="A221" s="81" t="s">
        <v>323</v>
      </c>
      <c r="B221" s="82"/>
      <c r="C221" s="10">
        <v>2.9991854939999998</v>
      </c>
      <c r="D221" s="42">
        <f>(110*MID(A221,1,4)+250)/MID(A221,1,4)</f>
        <v>193.33333333333334</v>
      </c>
      <c r="E221" s="57">
        <f t="shared" si="29"/>
        <v>2.99682</v>
      </c>
      <c r="F221" s="57">
        <f t="shared" si="30"/>
        <v>3.00318</v>
      </c>
      <c r="G221" s="43">
        <f t="shared" si="31"/>
        <v>-2.7150200000007157E-2</v>
      </c>
      <c r="H221" s="42">
        <f>(3*0.08+0.002*10)/3</f>
        <v>8.666666666666667E-2</v>
      </c>
      <c r="I221" s="42">
        <f t="shared" si="32"/>
        <v>-25.613396226421845</v>
      </c>
      <c r="J221" s="10">
        <v>22.065525372625199</v>
      </c>
      <c r="K221" t="s">
        <v>324</v>
      </c>
    </row>
    <row r="222" spans="1:11" ht="14.25" customHeight="1">
      <c r="A222" s="83" t="s">
        <v>325</v>
      </c>
      <c r="B222" s="82"/>
      <c r="C222" s="4">
        <v>2.9960938459999999</v>
      </c>
      <c r="D222" s="45">
        <f>(300*MID(A222,1,4)+800)/MID(A222,1,4)</f>
        <v>566.66666666666663</v>
      </c>
      <c r="E222" s="58">
        <f t="shared" si="29"/>
        <v>2.9883000000000002</v>
      </c>
      <c r="F222" s="58">
        <f t="shared" si="30"/>
        <v>3.0116999999999998</v>
      </c>
      <c r="G222" s="46">
        <f t="shared" si="31"/>
        <v>-0.13020513333333503</v>
      </c>
      <c r="H222" s="45">
        <f>(3*0.3+0.01*10)/3</f>
        <v>0.33333333333333331</v>
      </c>
      <c r="I222" s="42">
        <f t="shared" si="32"/>
        <v>-33.385931623932059</v>
      </c>
      <c r="J222" s="4">
        <v>8.6568987682738019</v>
      </c>
      <c r="K222" t="s">
        <v>326</v>
      </c>
    </row>
    <row r="223" spans="1:11" ht="14.25" customHeight="1">
      <c r="A223" s="81" t="s">
        <v>327</v>
      </c>
      <c r="B223" s="82"/>
      <c r="C223" s="10">
        <v>2.9993353389999999</v>
      </c>
      <c r="D223" s="42">
        <f>(1000*MID(A223,1,4)+2500)/MID(A223,1,4)</f>
        <v>1833.3333333333333</v>
      </c>
      <c r="E223" s="57">
        <f t="shared" si="29"/>
        <v>2.9634999999999998</v>
      </c>
      <c r="F223" s="57">
        <f t="shared" si="30"/>
        <v>3.0365000000000002</v>
      </c>
      <c r="G223" s="43">
        <f t="shared" si="31"/>
        <v>-2.2155366666668879E-2</v>
      </c>
      <c r="H223" s="42">
        <f>(3*1+0.01*10)/3</f>
        <v>1.0333333333333334</v>
      </c>
      <c r="I223" s="42">
        <f t="shared" si="32"/>
        <v>-1.8209890410960723</v>
      </c>
      <c r="J223" s="10">
        <v>9.2992504111183063</v>
      </c>
      <c r="K223" t="s">
        <v>294</v>
      </c>
    </row>
    <row r="224" spans="1:11" ht="14.25" customHeight="1">
      <c r="A224" s="83" t="s">
        <v>328</v>
      </c>
      <c r="B224" s="82"/>
      <c r="C224" s="4">
        <v>3.018722661</v>
      </c>
      <c r="D224" s="45">
        <f>(1500*MID(A224,1,4)+4000)/MID(A224,1,4)</f>
        <v>2833.3333333333335</v>
      </c>
      <c r="E224" s="58">
        <f t="shared" si="29"/>
        <v>2.9604999999999997</v>
      </c>
      <c r="F224" s="58">
        <f t="shared" si="30"/>
        <v>3.0395000000000003</v>
      </c>
      <c r="G224" s="46">
        <f t="shared" si="31"/>
        <v>0.62408869999999916</v>
      </c>
      <c r="H224" s="45">
        <f>(3*1+0.01*10)/3</f>
        <v>1.0333333333333334</v>
      </c>
      <c r="I224" s="42">
        <f t="shared" si="32"/>
        <v>47.399141772151829</v>
      </c>
      <c r="J224" s="4">
        <v>9.082191822762999</v>
      </c>
      <c r="K224" t="s">
        <v>329</v>
      </c>
    </row>
    <row r="225" spans="1:11" ht="14.25" customHeight="1">
      <c r="A225" s="81" t="s">
        <v>330</v>
      </c>
      <c r="B225" s="82"/>
      <c r="C225" s="10">
        <v>10.000578750000001</v>
      </c>
      <c r="D225" s="42">
        <f>(250*MID(A225,1,4)+500)/MID(A225,1,4)</f>
        <v>300</v>
      </c>
      <c r="E225" s="57">
        <f t="shared" si="29"/>
        <v>9.9959000000000007</v>
      </c>
      <c r="F225" s="57">
        <f t="shared" si="30"/>
        <v>10.004099999999999</v>
      </c>
      <c r="G225" s="43">
        <f t="shared" si="31"/>
        <v>5.787500000007384E-3</v>
      </c>
      <c r="H225" s="42">
        <f>(10*0.007+0.004*10)/10</f>
        <v>1.1000000000000001E-2</v>
      </c>
      <c r="I225" s="42">
        <f t="shared" si="32"/>
        <v>14.115853658554595</v>
      </c>
      <c r="J225" s="10">
        <v>15.19151827376403</v>
      </c>
      <c r="K225" t="s">
        <v>270</v>
      </c>
    </row>
    <row r="226" spans="1:11" ht="14.25" customHeight="1">
      <c r="A226" s="83" t="s">
        <v>331</v>
      </c>
      <c r="B226" s="82"/>
      <c r="C226" s="4">
        <v>10.0002502</v>
      </c>
      <c r="D226" s="45">
        <f>(250*MID(A226,1,4)+500)/MID(A226,1,4)</f>
        <v>300</v>
      </c>
      <c r="E226" s="58">
        <f t="shared" si="29"/>
        <v>9.9959000000000007</v>
      </c>
      <c r="F226" s="58">
        <f t="shared" si="30"/>
        <v>10.004099999999999</v>
      </c>
      <c r="G226" s="46">
        <f t="shared" si="31"/>
        <v>2.5019999999997822E-3</v>
      </c>
      <c r="H226" s="45">
        <f>(10*0.007+0.004*10)/10</f>
        <v>1.1000000000000001E-2</v>
      </c>
      <c r="I226" s="42">
        <f t="shared" si="32"/>
        <v>6.102439024389712</v>
      </c>
      <c r="J226" s="4">
        <v>9.4142143532503813</v>
      </c>
      <c r="K226" t="s">
        <v>299</v>
      </c>
    </row>
    <row r="227" spans="1:11" ht="14.25" customHeight="1">
      <c r="A227" s="81" t="s">
        <v>332</v>
      </c>
      <c r="B227" s="82"/>
      <c r="C227" s="10">
        <v>10.00024895</v>
      </c>
      <c r="D227" s="42">
        <f>(45*MID(A227,1,4)+70)/MID(A227,1,4)</f>
        <v>52</v>
      </c>
      <c r="E227" s="57">
        <f t="shared" si="29"/>
        <v>9.9985800000000005</v>
      </c>
      <c r="F227" s="57">
        <f t="shared" si="30"/>
        <v>10.00142</v>
      </c>
      <c r="G227" s="43">
        <f t="shared" si="31"/>
        <v>2.4894999999958145E-3</v>
      </c>
      <c r="H227" s="42">
        <f>(10*0.007+0.002*10)/10</f>
        <v>9.0000000000000011E-3</v>
      </c>
      <c r="I227" s="42">
        <f t="shared" si="32"/>
        <v>17.531690140815595</v>
      </c>
      <c r="J227" s="10">
        <v>2.1232439298393961</v>
      </c>
      <c r="K227" t="s">
        <v>209</v>
      </c>
    </row>
    <row r="228" spans="1:11" ht="14.25" customHeight="1">
      <c r="A228" s="83" t="s">
        <v>333</v>
      </c>
      <c r="B228" s="82"/>
      <c r="C228" s="4">
        <v>10.000118090000001</v>
      </c>
      <c r="D228" s="45">
        <f>(45*MID(A228,1,4)+70)/MID(A228,1,4)</f>
        <v>52</v>
      </c>
      <c r="E228" s="58">
        <f t="shared" si="29"/>
        <v>9.9985800000000005</v>
      </c>
      <c r="F228" s="58">
        <f t="shared" si="30"/>
        <v>10.00142</v>
      </c>
      <c r="G228" s="46">
        <f t="shared" si="31"/>
        <v>1.1809000000084779E-3</v>
      </c>
      <c r="H228" s="45">
        <f>(10*0.007+0.002*10)/10</f>
        <v>9.0000000000000011E-3</v>
      </c>
      <c r="I228" s="42">
        <f t="shared" si="32"/>
        <v>8.3161971831582946</v>
      </c>
      <c r="J228" s="4">
        <v>2.8693359703474459</v>
      </c>
      <c r="K228" t="s">
        <v>209</v>
      </c>
    </row>
    <row r="229" spans="1:11" ht="14.25" customHeight="1">
      <c r="A229" s="81" t="s">
        <v>334</v>
      </c>
      <c r="B229" s="82"/>
      <c r="C229" s="10">
        <v>10.00028668</v>
      </c>
      <c r="D229" s="42">
        <f>(45*MID(A229,1,4)+70)/MID(A229,1,4)</f>
        <v>52</v>
      </c>
      <c r="E229" s="57">
        <f t="shared" si="29"/>
        <v>9.9985800000000005</v>
      </c>
      <c r="F229" s="57">
        <f t="shared" si="30"/>
        <v>10.00142</v>
      </c>
      <c r="G229" s="43">
        <f t="shared" si="31"/>
        <v>2.8668000000031668E-3</v>
      </c>
      <c r="H229" s="42">
        <f>(10*0.007+0.002*10)/10</f>
        <v>9.0000000000000011E-3</v>
      </c>
      <c r="I229" s="42">
        <f t="shared" si="32"/>
        <v>20.188732394388499</v>
      </c>
      <c r="J229" s="10">
        <v>2.943490558885677</v>
      </c>
      <c r="K229" t="s">
        <v>209</v>
      </c>
    </row>
    <row r="230" spans="1:11" ht="14.25" customHeight="1">
      <c r="A230" s="83" t="s">
        <v>335</v>
      </c>
      <c r="B230" s="82"/>
      <c r="C230" s="4">
        <v>9.9996722279999997</v>
      </c>
      <c r="D230" s="45">
        <f>(45*MID(A230,1,4)+70)/MID(A230,1,4)</f>
        <v>52</v>
      </c>
      <c r="E230" s="58">
        <f t="shared" si="29"/>
        <v>9.9978800000000003</v>
      </c>
      <c r="F230" s="58">
        <f t="shared" si="30"/>
        <v>10.00212</v>
      </c>
      <c r="G230" s="46">
        <f t="shared" si="31"/>
        <v>-3.2777200000033702E-3</v>
      </c>
      <c r="H230" s="45">
        <f>(10*0.014+0.002*10)/10</f>
        <v>1.6E-2</v>
      </c>
      <c r="I230" s="42">
        <f t="shared" si="32"/>
        <v>-15.460943396242312</v>
      </c>
      <c r="J230" s="4">
        <v>1.970762487066124</v>
      </c>
      <c r="K230" t="s">
        <v>209</v>
      </c>
    </row>
    <row r="231" spans="1:11" ht="14.25" customHeight="1">
      <c r="A231" s="81" t="s">
        <v>336</v>
      </c>
      <c r="B231" s="82"/>
      <c r="C231" s="10">
        <v>9.9995300599999997</v>
      </c>
      <c r="D231" s="42">
        <f>(45*MID(A231,1,4)+70)/MID(A231,1,4)</f>
        <v>52</v>
      </c>
      <c r="E231" s="57">
        <f t="shared" si="29"/>
        <v>9.9978800000000003</v>
      </c>
      <c r="F231" s="57">
        <f t="shared" si="30"/>
        <v>10.00212</v>
      </c>
      <c r="G231" s="43">
        <f t="shared" si="31"/>
        <v>-4.6994000000033509E-3</v>
      </c>
      <c r="H231" s="42">
        <f>(10*0.014+0.002*10)/10</f>
        <v>1.6E-2</v>
      </c>
      <c r="I231" s="42">
        <f t="shared" si="32"/>
        <v>-22.166981132091276</v>
      </c>
      <c r="J231" s="10">
        <v>2.1066664568807449</v>
      </c>
      <c r="K231" t="s">
        <v>209</v>
      </c>
    </row>
    <row r="232" spans="1:11" ht="14.25" customHeight="1">
      <c r="A232" s="83" t="s">
        <v>337</v>
      </c>
      <c r="B232" s="82"/>
      <c r="C232" s="4">
        <v>9.9993220600000008</v>
      </c>
      <c r="D232" s="45">
        <f>(80*MID(A232,1,4)+120)/MID(A232,1,4)</f>
        <v>92</v>
      </c>
      <c r="E232" s="58">
        <f t="shared" si="29"/>
        <v>9.9958799999999997</v>
      </c>
      <c r="F232" s="58">
        <f t="shared" si="30"/>
        <v>10.00412</v>
      </c>
      <c r="G232" s="46">
        <f t="shared" si="31"/>
        <v>-6.7793999999921084E-3</v>
      </c>
      <c r="H232" s="45">
        <f>(10*0.03+0.002*10)/10</f>
        <v>3.2000000000000001E-2</v>
      </c>
      <c r="I232" s="42">
        <f t="shared" si="32"/>
        <v>-16.454854368912883</v>
      </c>
      <c r="J232" s="4">
        <v>4.0178963758747539</v>
      </c>
      <c r="K232" t="s">
        <v>204</v>
      </c>
    </row>
    <row r="233" spans="1:11" ht="14.25" customHeight="1">
      <c r="A233" s="81" t="s">
        <v>338</v>
      </c>
      <c r="B233" s="82"/>
      <c r="C233" s="10">
        <v>9.9965415219999993</v>
      </c>
      <c r="D233" s="42">
        <f>(110*MID(A233,1,4)+250)/MID(A233,1,4)</f>
        <v>135</v>
      </c>
      <c r="E233" s="57">
        <f t="shared" si="29"/>
        <v>9.9904499999999992</v>
      </c>
      <c r="F233" s="57">
        <f t="shared" si="30"/>
        <v>10.009550000000001</v>
      </c>
      <c r="G233" s="43">
        <f t="shared" si="31"/>
        <v>-3.4584780000006532E-2</v>
      </c>
      <c r="H233" s="42">
        <f>(10*0.08+0.002*10)/10</f>
        <v>8.2000000000000003E-2</v>
      </c>
      <c r="I233" s="42">
        <f t="shared" si="32"/>
        <v>-36.214429319378567</v>
      </c>
      <c r="J233" s="10">
        <v>7.2176525916897001</v>
      </c>
      <c r="K233" t="s">
        <v>339</v>
      </c>
    </row>
    <row r="234" spans="1:11" ht="14.25" customHeight="1">
      <c r="A234" s="83" t="s">
        <v>340</v>
      </c>
      <c r="B234" s="82"/>
      <c r="C234" s="4">
        <v>9.9868685250000002</v>
      </c>
      <c r="D234" s="45">
        <f>(300*MID(A234,1,4)+800)/MID(A234,1,4)</f>
        <v>380</v>
      </c>
      <c r="E234" s="58">
        <f t="shared" si="29"/>
        <v>9.9651999999999994</v>
      </c>
      <c r="F234" s="58">
        <f t="shared" si="30"/>
        <v>10.034800000000001</v>
      </c>
      <c r="G234" s="46">
        <f t="shared" si="31"/>
        <v>-0.13131474999999782</v>
      </c>
      <c r="H234" s="45">
        <f>(10*0.3+0.01*10)/10</f>
        <v>0.31</v>
      </c>
      <c r="I234" s="42">
        <f t="shared" si="32"/>
        <v>-37.734123563217764</v>
      </c>
      <c r="J234" s="4">
        <v>5.9141410915141259</v>
      </c>
      <c r="K234" t="s">
        <v>341</v>
      </c>
    </row>
    <row r="235" spans="1:11" ht="14.25" customHeight="1">
      <c r="A235" s="81" t="s">
        <v>342</v>
      </c>
      <c r="B235" s="82"/>
      <c r="C235" s="10">
        <v>9.9977142289999996</v>
      </c>
      <c r="D235" s="42">
        <f>(1000*MID(A235,1,4)+2500)/MID(A235,1,4)</f>
        <v>1250</v>
      </c>
      <c r="E235" s="57">
        <f t="shared" si="29"/>
        <v>9.8864999999999998</v>
      </c>
      <c r="F235" s="57">
        <f t="shared" si="30"/>
        <v>10.1135</v>
      </c>
      <c r="G235" s="43">
        <f t="shared" si="31"/>
        <v>-2.2857710000003806E-2</v>
      </c>
      <c r="H235" s="42">
        <f>(10*1+0.01*10)/10</f>
        <v>1.01</v>
      </c>
      <c r="I235" s="42">
        <f t="shared" si="32"/>
        <v>-2.0138951541853571</v>
      </c>
      <c r="J235" s="10">
        <v>5.5341995278710359</v>
      </c>
      <c r="K235" t="s">
        <v>312</v>
      </c>
    </row>
    <row r="236" spans="1:11" ht="14.25" customHeight="1">
      <c r="A236" s="83" t="s">
        <v>343</v>
      </c>
      <c r="B236" s="82"/>
      <c r="C236" s="4">
        <v>10.064083</v>
      </c>
      <c r="D236" s="45">
        <f>(1500*MID(A236,1,4)+4000)/MID(A236,1,4)</f>
        <v>1900</v>
      </c>
      <c r="E236" s="58">
        <f t="shared" si="29"/>
        <v>9.879999999999999</v>
      </c>
      <c r="F236" s="58">
        <f t="shared" si="30"/>
        <v>10.120000000000001</v>
      </c>
      <c r="G236" s="46">
        <f t="shared" si="31"/>
        <v>0.64083000000000112</v>
      </c>
      <c r="H236" s="45">
        <f>(10*1+0.01*10)/10</f>
        <v>1.01</v>
      </c>
      <c r="I236" s="42">
        <f t="shared" si="32"/>
        <v>53.402500000000096</v>
      </c>
      <c r="J236" s="4">
        <v>5.0237408640241084</v>
      </c>
      <c r="K236" t="s">
        <v>214</v>
      </c>
    </row>
    <row r="237" spans="1:11" ht="14.25" customHeight="1">
      <c r="A237" s="81" t="s">
        <v>344</v>
      </c>
      <c r="B237" s="82"/>
      <c r="C237" s="10">
        <v>30.00141708</v>
      </c>
      <c r="D237" s="42">
        <f>(250*MID(A237,1,4)+5)/MID(A237,1,4)</f>
        <v>250.16666666666666</v>
      </c>
      <c r="E237" s="57">
        <f t="shared" si="29"/>
        <v>29.982495</v>
      </c>
      <c r="F237" s="57">
        <f t="shared" si="30"/>
        <v>30.017505</v>
      </c>
      <c r="G237" s="43">
        <f t="shared" si="31"/>
        <v>4.7235999999983846E-3</v>
      </c>
      <c r="H237" s="42">
        <f>(30*0.02+0.004*100)/30</f>
        <v>3.3333333333333333E-2</v>
      </c>
      <c r="I237" s="42">
        <f t="shared" si="32"/>
        <v>8.0952870608369913</v>
      </c>
      <c r="J237" s="10">
        <v>29.749601925942201</v>
      </c>
      <c r="K237" t="s">
        <v>278</v>
      </c>
    </row>
    <row r="238" spans="1:11" ht="14.25" customHeight="1">
      <c r="A238" s="83" t="s">
        <v>345</v>
      </c>
      <c r="B238" s="82"/>
      <c r="C238" s="4">
        <v>30.00031517</v>
      </c>
      <c r="D238" s="45">
        <f>(95*MID(A238,1,4)+2)/MID(A238,1,4)</f>
        <v>95.066666666666663</v>
      </c>
      <c r="E238" s="58">
        <f t="shared" si="29"/>
        <v>29.987147999999998</v>
      </c>
      <c r="F238" s="58">
        <f t="shared" si="30"/>
        <v>30.012852000000002</v>
      </c>
      <c r="G238" s="46">
        <f t="shared" si="31"/>
        <v>1.050566666667881E-3</v>
      </c>
      <c r="H238" s="45">
        <f>(30*0.02+0.004*100)/30</f>
        <v>3.3333333333333333E-2</v>
      </c>
      <c r="I238" s="42">
        <f t="shared" si="32"/>
        <v>2.4523031434824487</v>
      </c>
      <c r="J238" s="4">
        <v>16.981399621254251</v>
      </c>
      <c r="K238" t="s">
        <v>280</v>
      </c>
    </row>
    <row r="239" spans="1:11" ht="14.25" customHeight="1">
      <c r="A239" s="81" t="s">
        <v>346</v>
      </c>
      <c r="B239" s="82"/>
      <c r="C239" s="10">
        <v>30.000307159999998</v>
      </c>
      <c r="D239" s="42">
        <f>(57*MID(A239,1,4)+0.7)/MID(A239,1,4)</f>
        <v>57.023333333333333</v>
      </c>
      <c r="E239" s="57">
        <f t="shared" si="29"/>
        <v>29.990289300000001</v>
      </c>
      <c r="F239" s="57">
        <f t="shared" si="30"/>
        <v>30.009710699999999</v>
      </c>
      <c r="G239" s="43">
        <f t="shared" si="31"/>
        <v>1.0238666666613956E-3</v>
      </c>
      <c r="H239" s="42">
        <f>(30*0.02+0.002*100)/30</f>
        <v>2.6666666666666668E-2</v>
      </c>
      <c r="I239" s="42">
        <f t="shared" si="32"/>
        <v>3.1631087357082257</v>
      </c>
      <c r="J239" s="10">
        <v>6.2746485252072803</v>
      </c>
      <c r="K239" t="s">
        <v>347</v>
      </c>
    </row>
    <row r="240" spans="1:11" ht="14.25" customHeight="1">
      <c r="A240" s="83" t="s">
        <v>348</v>
      </c>
      <c r="B240" s="82"/>
      <c r="C240" s="4">
        <v>30.00002903</v>
      </c>
      <c r="D240" s="45">
        <f>(57*MID(A240,1,4)+0.7)/MID(A240,1,4)</f>
        <v>57.023333333333333</v>
      </c>
      <c r="E240" s="58">
        <f t="shared" si="29"/>
        <v>29.990289300000001</v>
      </c>
      <c r="F240" s="58">
        <f t="shared" si="30"/>
        <v>30.009710699999999</v>
      </c>
      <c r="G240" s="46">
        <f t="shared" si="31"/>
        <v>9.6766666667728415E-5</v>
      </c>
      <c r="H240" s="45">
        <f>(30*0.02+0.002*100)/30</f>
        <v>2.6666666666666668E-2</v>
      </c>
      <c r="I240" s="42">
        <f t="shared" si="32"/>
        <v>0.29894858249475864</v>
      </c>
      <c r="J240" s="4">
        <v>10.600997134932189</v>
      </c>
      <c r="K240" t="s">
        <v>347</v>
      </c>
    </row>
    <row r="241" spans="1:11" ht="14.25" customHeight="1">
      <c r="A241" s="81" t="s">
        <v>349</v>
      </c>
      <c r="B241" s="82"/>
      <c r="C241" s="10">
        <v>30.000334930000001</v>
      </c>
      <c r="D241" s="42">
        <f>(57*MID(A241,1,4)+0.7)/MID(A241,1,4)</f>
        <v>57.023333333333333</v>
      </c>
      <c r="E241" s="57">
        <f t="shared" si="29"/>
        <v>29.990289300000001</v>
      </c>
      <c r="F241" s="57">
        <f t="shared" si="30"/>
        <v>30.009710699999999</v>
      </c>
      <c r="G241" s="43">
        <f t="shared" si="31"/>
        <v>1.1164333333368859E-3</v>
      </c>
      <c r="H241" s="42">
        <f>(30*0.02+0.002*100)/30</f>
        <v>2.6666666666666668E-2</v>
      </c>
      <c r="I241" s="42">
        <f t="shared" si="32"/>
        <v>3.449081940550792</v>
      </c>
      <c r="J241" s="10">
        <v>6.2426748410059902</v>
      </c>
      <c r="K241" t="s">
        <v>347</v>
      </c>
    </row>
    <row r="242" spans="1:11" ht="14.25" customHeight="1">
      <c r="A242" s="83" t="s">
        <v>350</v>
      </c>
      <c r="B242" s="82"/>
      <c r="C242" s="4">
        <v>29.9994947</v>
      </c>
      <c r="D242" s="45">
        <f>(57*MID(A242,1,4)+0.7)/MID(A242,1,4)</f>
        <v>57.023333333333333</v>
      </c>
      <c r="E242" s="58">
        <f t="shared" si="29"/>
        <v>29.990289300000001</v>
      </c>
      <c r="F242" s="58">
        <f t="shared" si="30"/>
        <v>30.009710699999999</v>
      </c>
      <c r="G242" s="46">
        <f t="shared" si="31"/>
        <v>-1.6843333333345829E-3</v>
      </c>
      <c r="H242" s="45">
        <f>(30*0.02+0.002*100)/30</f>
        <v>2.6666666666666668E-2</v>
      </c>
      <c r="I242" s="42">
        <f t="shared" si="32"/>
        <v>-5.2035383649003144</v>
      </c>
      <c r="J242" s="4">
        <v>6.1271692480786966</v>
      </c>
      <c r="K242" t="s">
        <v>347</v>
      </c>
    </row>
    <row r="243" spans="1:11" ht="14.25" customHeight="1">
      <c r="A243" s="81" t="s">
        <v>351</v>
      </c>
      <c r="B243" s="82"/>
      <c r="C243" s="10">
        <v>29.998674019999999</v>
      </c>
      <c r="D243" s="42">
        <f>(57*MID(A243,1,4)+0.7)/MID(A243,1,4)</f>
        <v>57.023333333333333</v>
      </c>
      <c r="E243" s="57">
        <f t="shared" si="29"/>
        <v>29.990289300000001</v>
      </c>
      <c r="F243" s="57">
        <f t="shared" si="30"/>
        <v>30.009710699999999</v>
      </c>
      <c r="G243" s="43">
        <f t="shared" si="31"/>
        <v>-4.4199333333357531E-3</v>
      </c>
      <c r="H243" s="42">
        <f>(30*0.02+0.002*100)/30</f>
        <v>2.6666666666666668E-2</v>
      </c>
      <c r="I243" s="42">
        <f t="shared" si="32"/>
        <v>-13.654834357983727</v>
      </c>
      <c r="J243" s="10">
        <v>6.3366421321094686</v>
      </c>
      <c r="K243" t="s">
        <v>347</v>
      </c>
    </row>
    <row r="244" spans="1:11" ht="14.25" customHeight="1">
      <c r="A244" s="83" t="s">
        <v>352</v>
      </c>
      <c r="B244" s="82"/>
      <c r="C244" s="4">
        <v>29.99955288</v>
      </c>
      <c r="D244" s="45">
        <f>(90*MID(A244,1,4)+1.2)/MID(A244,1,4)</f>
        <v>90.039999999999992</v>
      </c>
      <c r="E244" s="58">
        <f t="shared" si="29"/>
        <v>29.986598799999999</v>
      </c>
      <c r="F244" s="58">
        <f t="shared" si="30"/>
        <v>30.013401200000001</v>
      </c>
      <c r="G244" s="46">
        <f t="shared" si="31"/>
        <v>-1.4904000000015571E-3</v>
      </c>
      <c r="H244" s="45">
        <f>(30*0.035+0.002*10)/30</f>
        <v>3.5666666666666666E-2</v>
      </c>
      <c r="I244" s="42">
        <f t="shared" si="32"/>
        <v>-3.3364176342451959</v>
      </c>
      <c r="J244" s="4">
        <v>9.6822854287085729</v>
      </c>
      <c r="K244" t="s">
        <v>353</v>
      </c>
    </row>
    <row r="245" spans="1:11" ht="14.25" customHeight="1">
      <c r="A245" s="81" t="s">
        <v>354</v>
      </c>
      <c r="B245" s="82"/>
      <c r="C245" s="10">
        <v>29.994745859999998</v>
      </c>
      <c r="D245" s="42">
        <f>(160*MID(A245,1,4)+3)/MID(A245,1,4)</f>
        <v>160.1</v>
      </c>
      <c r="E245" s="57">
        <f t="shared" si="29"/>
        <v>29.957197000000001</v>
      </c>
      <c r="F245" s="57">
        <f t="shared" si="30"/>
        <v>30.042802999999999</v>
      </c>
      <c r="G245" s="43">
        <f t="shared" si="31"/>
        <v>-1.7513800000005613E-2</v>
      </c>
      <c r="H245" s="42">
        <f>(30*0.12+0.002*100)/30</f>
        <v>0.12666666666666665</v>
      </c>
      <c r="I245" s="42">
        <f t="shared" si="32"/>
        <v>-12.275167628441194</v>
      </c>
      <c r="J245" s="10">
        <v>15.893045316742789</v>
      </c>
      <c r="K245" t="s">
        <v>355</v>
      </c>
    </row>
    <row r="246" spans="1:11" ht="14.25" customHeight="1">
      <c r="A246" s="83" t="s">
        <v>356</v>
      </c>
      <c r="B246" s="82"/>
      <c r="C246" s="4">
        <v>29.992875260000002</v>
      </c>
      <c r="D246" s="45">
        <f>(900*MID(A246,1,4)+2)/MID(A246,1,4)</f>
        <v>900.06666666666672</v>
      </c>
      <c r="E246" s="58">
        <f t="shared" si="29"/>
        <v>29.842998000000001</v>
      </c>
      <c r="F246" s="58">
        <f t="shared" si="30"/>
        <v>30.157001999999999</v>
      </c>
      <c r="G246" s="46">
        <f t="shared" si="31"/>
        <v>-2.3749133333327659E-2</v>
      </c>
      <c r="H246" s="45">
        <f>(30*0.4+0.01*100)/30</f>
        <v>0.43333333333333335</v>
      </c>
      <c r="I246" s="42">
        <f t="shared" si="32"/>
        <v>-4.5379931465830357</v>
      </c>
      <c r="J246" s="4">
        <v>5.9992215432928209</v>
      </c>
      <c r="K246" t="s">
        <v>357</v>
      </c>
    </row>
    <row r="247" spans="1:11" ht="14.25" customHeight="1">
      <c r="A247" s="81" t="s">
        <v>358</v>
      </c>
      <c r="B247" s="82"/>
      <c r="C247" s="10">
        <v>30.028085699999998</v>
      </c>
      <c r="D247" s="42">
        <f>(5000*MID(A247,1,4)+50)/MID(A247,1,4)</f>
        <v>5001.666666666667</v>
      </c>
      <c r="E247" s="57">
        <f t="shared" si="29"/>
        <v>29.389949999999999</v>
      </c>
      <c r="F247" s="57">
        <f t="shared" si="30"/>
        <v>30.610050000000001</v>
      </c>
      <c r="G247" s="43">
        <f t="shared" si="31"/>
        <v>9.3618999999994415E-2</v>
      </c>
      <c r="H247" s="42">
        <f>(30*1.5+0.01*100)/30</f>
        <v>1.5333333333333334</v>
      </c>
      <c r="I247" s="42">
        <f t="shared" si="32"/>
        <v>4.6038357511676615</v>
      </c>
      <c r="J247" s="10">
        <v>27.893042083666039</v>
      </c>
      <c r="K247" t="s">
        <v>359</v>
      </c>
    </row>
    <row r="248" spans="1:11" ht="14.25" customHeight="1">
      <c r="A248" s="83" t="s">
        <v>360</v>
      </c>
      <c r="B248" s="82"/>
      <c r="C248" s="4">
        <v>100.0011013</v>
      </c>
      <c r="D248" s="45">
        <f>(250*MID(A248,1,4)+5)/MID(A248,1,4)</f>
        <v>250.05</v>
      </c>
      <c r="E248" s="58">
        <f t="shared" si="29"/>
        <v>99.950995000000006</v>
      </c>
      <c r="F248" s="58">
        <f t="shared" si="30"/>
        <v>100.04900499999999</v>
      </c>
      <c r="G248" s="46">
        <f t="shared" si="31"/>
        <v>1.1013000000019701E-3</v>
      </c>
      <c r="H248" s="45">
        <f>(100*0.02+0.004*100)/100</f>
        <v>2.4E-2</v>
      </c>
      <c r="I248" s="42">
        <f t="shared" si="32"/>
        <v>2.2473217018711766</v>
      </c>
      <c r="J248" s="4">
        <v>17.190667739752811</v>
      </c>
      <c r="K248" t="s">
        <v>270</v>
      </c>
    </row>
    <row r="249" spans="1:11" ht="14.25" customHeight="1">
      <c r="A249" s="81" t="s">
        <v>361</v>
      </c>
      <c r="B249" s="82"/>
      <c r="C249" s="10">
        <v>99.9984398</v>
      </c>
      <c r="D249" s="42">
        <f>(95*MID(A249,1,4)+2)/MID(A249,1,4)</f>
        <v>95.02</v>
      </c>
      <c r="E249" s="57">
        <f t="shared" ref="E249:E280" si="33">MID(A249,1,4)-MID(A249,1,4)*D249/1000000-MID(A249,1,4)*H249/100</f>
        <v>99.966498000000001</v>
      </c>
      <c r="F249" s="57">
        <f t="shared" ref="F249:F262" si="34">MID(A249,1,4)+MID(A249,1,4)*D249/1000000+MID(A249,1,4)*H249/100</f>
        <v>100.033502</v>
      </c>
      <c r="G249" s="43">
        <f t="shared" ref="G249:G262" si="35">(C249-MID(A249,1,4))*100/MID(A249,1,4)</f>
        <v>-1.5602000000001226E-3</v>
      </c>
      <c r="H249" s="42">
        <f>(100*0.02+0.004*100)/100</f>
        <v>2.4E-2</v>
      </c>
      <c r="I249" s="42">
        <f t="shared" ref="I249:I280" si="36">G249*100/(H249+D249/10000)</f>
        <v>-4.6570354008719548</v>
      </c>
      <c r="J249" s="10">
        <v>9.4660510268295468</v>
      </c>
      <c r="K249" t="s">
        <v>299</v>
      </c>
    </row>
    <row r="250" spans="1:11" ht="14.25" customHeight="1">
      <c r="A250" s="83" t="s">
        <v>362</v>
      </c>
      <c r="B250" s="82"/>
      <c r="C250" s="4">
        <v>99.998763629999999</v>
      </c>
      <c r="D250" s="45">
        <f>(57*MID(A250,1,4)+0.7)/MID(A250,1,4)</f>
        <v>57.006999999999998</v>
      </c>
      <c r="E250" s="58">
        <f t="shared" si="33"/>
        <v>99.972299299999989</v>
      </c>
      <c r="F250" s="58">
        <f t="shared" si="34"/>
        <v>100.02770070000001</v>
      </c>
      <c r="G250" s="46">
        <f t="shared" si="35"/>
        <v>-1.2363700000008748E-3</v>
      </c>
      <c r="H250" s="45">
        <f>(100*0.02+0.002*100)/100</f>
        <v>2.2000000000000002E-2</v>
      </c>
      <c r="I250" s="42">
        <f t="shared" si="36"/>
        <v>-4.4633168114916764</v>
      </c>
      <c r="J250" s="4">
        <v>2.144399995286117</v>
      </c>
      <c r="K250" t="s">
        <v>363</v>
      </c>
    </row>
    <row r="251" spans="1:11" ht="14.25" customHeight="1">
      <c r="A251" s="81" t="s">
        <v>364</v>
      </c>
      <c r="B251" s="82"/>
      <c r="C251" s="10">
        <v>99.997527680000005</v>
      </c>
      <c r="D251" s="42">
        <f>(57*MID(A251,1,4)+0.7)/MID(A251,1,4)</f>
        <v>57.006999999999998</v>
      </c>
      <c r="E251" s="57">
        <f t="shared" si="33"/>
        <v>99.972299299999989</v>
      </c>
      <c r="F251" s="57">
        <f t="shared" si="34"/>
        <v>100.02770070000001</v>
      </c>
      <c r="G251" s="43">
        <f t="shared" si="35"/>
        <v>-2.4723199999954204E-3</v>
      </c>
      <c r="H251" s="42">
        <f>(100*0.02+0.002*100)/100</f>
        <v>2.2000000000000002E-2</v>
      </c>
      <c r="I251" s="42">
        <f t="shared" si="36"/>
        <v>-8.9251174157888435</v>
      </c>
      <c r="J251" s="10">
        <v>1.554452587424308</v>
      </c>
      <c r="K251" t="s">
        <v>363</v>
      </c>
    </row>
    <row r="252" spans="1:11" ht="14.25" customHeight="1">
      <c r="A252" s="83" t="s">
        <v>365</v>
      </c>
      <c r="B252" s="82"/>
      <c r="C252" s="4">
        <v>99.999111319999997</v>
      </c>
      <c r="D252" s="45">
        <f>(57*MID(A252,1,4)+0.7)/MID(A252,1,4)</f>
        <v>57.006999999999998</v>
      </c>
      <c r="E252" s="58">
        <f t="shared" si="33"/>
        <v>99.972299299999989</v>
      </c>
      <c r="F252" s="58">
        <f t="shared" si="34"/>
        <v>100.02770070000001</v>
      </c>
      <c r="G252" s="46">
        <f t="shared" si="35"/>
        <v>-8.886800000027506E-4</v>
      </c>
      <c r="H252" s="45">
        <f>(100*0.02+0.002*100)/100</f>
        <v>2.2000000000000002E-2</v>
      </c>
      <c r="I252" s="42">
        <f t="shared" si="36"/>
        <v>-3.2081499745593089</v>
      </c>
      <c r="J252" s="4">
        <v>1.1439832762125339</v>
      </c>
      <c r="K252" t="s">
        <v>363</v>
      </c>
    </row>
    <row r="253" spans="1:11" ht="14.25" customHeight="1">
      <c r="A253" s="81" t="s">
        <v>366</v>
      </c>
      <c r="B253" s="82"/>
      <c r="C253" s="10">
        <v>99.997607689999995</v>
      </c>
      <c r="D253" s="42">
        <f>(57*MID(A253,1,4)+0.7)/MID(A253,1,4)</f>
        <v>57.006999999999998</v>
      </c>
      <c r="E253" s="57">
        <f t="shared" si="33"/>
        <v>99.972299299999989</v>
      </c>
      <c r="F253" s="57">
        <f t="shared" si="34"/>
        <v>100.02770070000001</v>
      </c>
      <c r="G253" s="43">
        <f t="shared" si="35"/>
        <v>-2.392310000004727E-3</v>
      </c>
      <c r="H253" s="42">
        <f>(100*0.02+0.002*100)/100</f>
        <v>2.2000000000000002E-2</v>
      </c>
      <c r="I253" s="42">
        <f t="shared" si="36"/>
        <v>-8.6362799496212261</v>
      </c>
      <c r="J253" s="10">
        <v>2.1719389592122829</v>
      </c>
      <c r="K253" t="s">
        <v>363</v>
      </c>
    </row>
    <row r="254" spans="1:11" ht="14.25" customHeight="1">
      <c r="A254" s="83" t="s">
        <v>367</v>
      </c>
      <c r="B254" s="82"/>
      <c r="C254" s="4">
        <v>99.995557509999998</v>
      </c>
      <c r="D254" s="45">
        <f>(57*MID(A254,1,4)+0.7)/MID(A254,1,4)</f>
        <v>57.006999999999998</v>
      </c>
      <c r="E254" s="58">
        <f t="shared" si="33"/>
        <v>99.972299299999989</v>
      </c>
      <c r="F254" s="58">
        <f t="shared" si="34"/>
        <v>100.02770070000001</v>
      </c>
      <c r="G254" s="46">
        <f t="shared" si="35"/>
        <v>-4.4424900000024081E-3</v>
      </c>
      <c r="H254" s="45">
        <f>(100*0.02+0.002*100)/100</f>
        <v>2.2000000000000002E-2</v>
      </c>
      <c r="I254" s="42">
        <f t="shared" si="36"/>
        <v>-16.037464757216995</v>
      </c>
      <c r="J254" s="4">
        <v>1.9671863489520089</v>
      </c>
      <c r="K254" t="s">
        <v>363</v>
      </c>
    </row>
    <row r="255" spans="1:11" ht="14.25" customHeight="1">
      <c r="A255" s="81" t="s">
        <v>368</v>
      </c>
      <c r="B255" s="82"/>
      <c r="C255" s="10">
        <v>99.995986049999999</v>
      </c>
      <c r="D255" s="42">
        <f>(50*MID(A255,1,4)+12)/MID(A255,1,4)</f>
        <v>50.12</v>
      </c>
      <c r="E255" s="57">
        <f t="shared" si="33"/>
        <v>99.957988</v>
      </c>
      <c r="F255" s="57">
        <f t="shared" si="34"/>
        <v>100.042012</v>
      </c>
      <c r="G255" s="43">
        <f t="shared" si="35"/>
        <v>-4.0139500000009321E-3</v>
      </c>
      <c r="H255" s="42">
        <f>(100*0.035+0.002*100)/100</f>
        <v>3.7000000000000005E-2</v>
      </c>
      <c r="I255" s="42">
        <f t="shared" si="36"/>
        <v>-9.5542940112371024</v>
      </c>
      <c r="J255" s="10">
        <v>3.78525891382262</v>
      </c>
      <c r="K255" t="s">
        <v>369</v>
      </c>
    </row>
    <row r="256" spans="1:11" ht="14.25" customHeight="1">
      <c r="A256" s="83" t="s">
        <v>370</v>
      </c>
      <c r="B256" s="82"/>
      <c r="C256" s="4">
        <v>99.974763850000002</v>
      </c>
      <c r="D256" s="45">
        <f>(160*MID(A256,1,4)+3)/MID(A256,1,4)</f>
        <v>160.03</v>
      </c>
      <c r="E256" s="58">
        <f t="shared" si="33"/>
        <v>99.861997000000002</v>
      </c>
      <c r="F256" s="58">
        <f t="shared" si="34"/>
        <v>100.138003</v>
      </c>
      <c r="G256" s="46">
        <f t="shared" si="35"/>
        <v>-2.5236149999997792E-2</v>
      </c>
      <c r="H256" s="45">
        <f>(100*0.12+0.002*100)/100</f>
        <v>0.122</v>
      </c>
      <c r="I256" s="42">
        <f t="shared" si="36"/>
        <v>-18.286667681135768</v>
      </c>
      <c r="J256" s="4">
        <v>3.7206493743811051</v>
      </c>
      <c r="K256" t="s">
        <v>371</v>
      </c>
    </row>
    <row r="257" spans="1:11" ht="14.25" customHeight="1">
      <c r="A257" s="81" t="s">
        <v>372</v>
      </c>
      <c r="B257" s="82"/>
      <c r="C257" s="10">
        <v>300.00262739999999</v>
      </c>
      <c r="D257" s="42">
        <f t="shared" ref="D257:D262" si="37">(70*MID(A257,1,4)+4)/MID(A257,1,4)</f>
        <v>70.013333333333335</v>
      </c>
      <c r="E257" s="57">
        <f t="shared" si="33"/>
        <v>299.83899600000001</v>
      </c>
      <c r="F257" s="57">
        <f t="shared" si="34"/>
        <v>300.16100399999999</v>
      </c>
      <c r="G257" s="43">
        <f t="shared" si="35"/>
        <v>8.7579999999813174E-4</v>
      </c>
      <c r="H257" s="42">
        <f>(300*0.04+0.002*1000)/300</f>
        <v>4.6666666666666669E-2</v>
      </c>
      <c r="I257" s="42">
        <f t="shared" si="36"/>
        <v>1.6318849221102552</v>
      </c>
      <c r="J257" s="10">
        <v>6.328624842193193</v>
      </c>
      <c r="K257" t="s">
        <v>373</v>
      </c>
    </row>
    <row r="258" spans="1:11" ht="14.25" customHeight="1">
      <c r="A258" s="83" t="s">
        <v>374</v>
      </c>
      <c r="B258" s="82"/>
      <c r="C258" s="4">
        <v>300.00387510000002</v>
      </c>
      <c r="D258" s="45">
        <f t="shared" si="37"/>
        <v>70.013333333333335</v>
      </c>
      <c r="E258" s="58">
        <f t="shared" si="33"/>
        <v>299.83899600000001</v>
      </c>
      <c r="F258" s="58">
        <f t="shared" si="34"/>
        <v>300.16100399999999</v>
      </c>
      <c r="G258" s="46">
        <f t="shared" si="35"/>
        <v>1.2917000000053729E-3</v>
      </c>
      <c r="H258" s="45">
        <f>(300*0.04+0.002*1000)/300</f>
        <v>4.6666666666666669E-2</v>
      </c>
      <c r="I258" s="42">
        <f t="shared" si="36"/>
        <v>2.4068346128146625</v>
      </c>
      <c r="J258" s="4">
        <v>3.8634669663914698</v>
      </c>
      <c r="K258" t="s">
        <v>373</v>
      </c>
    </row>
    <row r="259" spans="1:11" ht="14.25" customHeight="1">
      <c r="A259" s="81" t="s">
        <v>375</v>
      </c>
      <c r="B259" s="82"/>
      <c r="C259" s="10">
        <v>300.00481400000001</v>
      </c>
      <c r="D259" s="42">
        <f t="shared" si="37"/>
        <v>70.013333333333335</v>
      </c>
      <c r="E259" s="57">
        <f t="shared" si="33"/>
        <v>299.83899600000001</v>
      </c>
      <c r="F259" s="57">
        <f t="shared" si="34"/>
        <v>300.16100399999999</v>
      </c>
      <c r="G259" s="43">
        <f t="shared" si="35"/>
        <v>1.6046666666701033E-3</v>
      </c>
      <c r="H259" s="42">
        <f>(300*0.04+0.002*1000)/300</f>
        <v>4.6666666666666669E-2</v>
      </c>
      <c r="I259" s="42">
        <f t="shared" si="36"/>
        <v>2.9899878263958097</v>
      </c>
      <c r="J259" s="10">
        <v>4.9439512614057373</v>
      </c>
      <c r="K259" t="s">
        <v>373</v>
      </c>
    </row>
    <row r="260" spans="1:11" ht="14.25" customHeight="1">
      <c r="A260" s="83" t="s">
        <v>376</v>
      </c>
      <c r="B260" s="82"/>
      <c r="C260" s="4">
        <v>300.00554959999999</v>
      </c>
      <c r="D260" s="45">
        <f t="shared" si="37"/>
        <v>70.013333333333335</v>
      </c>
      <c r="E260" s="58">
        <f t="shared" si="33"/>
        <v>299.83899600000001</v>
      </c>
      <c r="F260" s="58">
        <f t="shared" si="34"/>
        <v>300.16100399999999</v>
      </c>
      <c r="G260" s="46">
        <f t="shared" si="35"/>
        <v>1.8498666666649417E-3</v>
      </c>
      <c r="H260" s="45">
        <f>(300*0.04+0.002*1000)/300</f>
        <v>4.6666666666666669E-2</v>
      </c>
      <c r="I260" s="42">
        <f t="shared" si="36"/>
        <v>3.4468708851921845</v>
      </c>
      <c r="J260" s="4">
        <v>4.9067953552621182</v>
      </c>
      <c r="K260" t="s">
        <v>373</v>
      </c>
    </row>
    <row r="261" spans="1:11" ht="14.25" customHeight="1">
      <c r="A261" s="81" t="s">
        <v>377</v>
      </c>
      <c r="B261" s="82"/>
      <c r="C261" s="10">
        <v>300.01142420000002</v>
      </c>
      <c r="D261" s="42">
        <f t="shared" si="37"/>
        <v>70.013333333333335</v>
      </c>
      <c r="E261" s="57">
        <f t="shared" si="33"/>
        <v>299.83899600000001</v>
      </c>
      <c r="F261" s="57">
        <f t="shared" si="34"/>
        <v>300.16100399999999</v>
      </c>
      <c r="G261" s="43">
        <f t="shared" si="35"/>
        <v>3.8080666666739185E-3</v>
      </c>
      <c r="H261" s="42">
        <f>(300*0.04+0.002*1000)/300</f>
        <v>4.6666666666666669E-2</v>
      </c>
      <c r="I261" s="42">
        <f t="shared" si="36"/>
        <v>7.0956001093275658</v>
      </c>
      <c r="J261" s="10">
        <v>3.32908907792992</v>
      </c>
      <c r="K261" t="s">
        <v>373</v>
      </c>
    </row>
    <row r="262" spans="1:11" ht="14.25" customHeight="1">
      <c r="A262" s="83" t="s">
        <v>378</v>
      </c>
      <c r="B262" s="82"/>
      <c r="C262" s="4">
        <v>750.03864539999995</v>
      </c>
      <c r="D262" s="45">
        <f t="shared" si="37"/>
        <v>70.00533333333334</v>
      </c>
      <c r="E262" s="58">
        <f t="shared" si="33"/>
        <v>749.62749599999995</v>
      </c>
      <c r="F262" s="58">
        <f t="shared" si="34"/>
        <v>750.37250400000005</v>
      </c>
      <c r="G262" s="46">
        <f t="shared" si="35"/>
        <v>5.1527199999933755E-3</v>
      </c>
      <c r="H262" s="45">
        <f>(750*0.04+0.002*1000)/750</f>
        <v>4.2666666666666665E-2</v>
      </c>
      <c r="I262" s="42">
        <f t="shared" si="36"/>
        <v>10.374492622884672</v>
      </c>
      <c r="J262" s="4">
        <v>3.818486678274271</v>
      </c>
      <c r="K262" t="s">
        <v>379</v>
      </c>
    </row>
    <row r="263" spans="1:11" ht="14.25" customHeight="1"/>
    <row r="264" spans="1:11" ht="14.25" customHeight="1"/>
    <row r="265" spans="1:11" ht="14.25" customHeight="1"/>
    <row r="266" spans="1:11" ht="14.25" customHeight="1"/>
    <row r="267" spans="1:11" ht="14.25" customHeight="1"/>
    <row r="268" spans="1:11" ht="16.5" customHeight="1" thickBot="1">
      <c r="A268" s="8"/>
      <c r="B268" s="8"/>
      <c r="C268" s="8"/>
      <c r="D268" s="79" t="s">
        <v>380</v>
      </c>
      <c r="E268" s="80"/>
      <c r="F268" s="80"/>
      <c r="G268" s="8"/>
      <c r="H268" s="8"/>
      <c r="I268" s="8"/>
    </row>
    <row r="269" spans="1:11" ht="25.5" customHeight="1">
      <c r="A269" s="16" t="s">
        <v>381</v>
      </c>
      <c r="B269" s="16" t="s">
        <v>90</v>
      </c>
      <c r="C269" s="16" t="s">
        <v>382</v>
      </c>
      <c r="D269" s="20" t="s">
        <v>196</v>
      </c>
      <c r="E269" s="16" t="s">
        <v>383</v>
      </c>
      <c r="F269" s="16" t="s">
        <v>384</v>
      </c>
      <c r="G269" s="16" t="s">
        <v>385</v>
      </c>
      <c r="H269" s="16" t="s">
        <v>386</v>
      </c>
      <c r="I269" s="17" t="s">
        <v>97</v>
      </c>
      <c r="J269" s="16" t="s">
        <v>143</v>
      </c>
    </row>
    <row r="270" spans="1:11" ht="14.25" customHeight="1">
      <c r="A270" s="7" t="s">
        <v>387</v>
      </c>
      <c r="B270" s="36">
        <v>0</v>
      </c>
      <c r="C270" s="59">
        <v>1.2825220970000001E-13</v>
      </c>
      <c r="D270" s="10"/>
      <c r="E270" s="10"/>
      <c r="F270" s="10"/>
      <c r="G270" s="60" t="s">
        <v>100</v>
      </c>
      <c r="H270" s="10"/>
      <c r="I270" s="10"/>
      <c r="J270" s="10">
        <v>1661424.046168738</v>
      </c>
      <c r="K270" t="s">
        <v>388</v>
      </c>
    </row>
    <row r="271" spans="1:11" ht="14.25" customHeight="1">
      <c r="A271" s="39" t="s">
        <v>389</v>
      </c>
      <c r="B271" s="61">
        <v>4.9999999999999998E-8</v>
      </c>
      <c r="C271" s="62">
        <v>3.2063052430000001E-15</v>
      </c>
      <c r="D271" s="45">
        <f>(ABS(B271)*40/1000000+7*0.000000001)*1000000/ABS(B271)</f>
        <v>140040.00000000003</v>
      </c>
      <c r="E271" s="62">
        <f>B271-(H271+D271)*B271/1000000</f>
        <v>4.2957499999999999E-8</v>
      </c>
      <c r="F271" s="62">
        <f>B271+(H271+D271)*B271/1000000</f>
        <v>5.7042499999999996E-8</v>
      </c>
      <c r="G271" s="45">
        <f>(C271-B271)*1000000/B271</f>
        <v>-999999.93587389507</v>
      </c>
      <c r="H271" s="45">
        <f>(ABS(B271)*10+400*100*0.000000001)/ABS(B271)</f>
        <v>810.00000000000011</v>
      </c>
      <c r="I271" s="42">
        <f>G271*100/(D271+H271)</f>
        <v>-709.97510534177843</v>
      </c>
      <c r="J271" s="4">
        <v>76678078.845843807</v>
      </c>
      <c r="K271" t="s">
        <v>390</v>
      </c>
    </row>
    <row r="272" spans="1:11" ht="14.25" customHeight="1">
      <c r="A272" s="36" t="s">
        <v>391</v>
      </c>
      <c r="B272" s="63">
        <v>9.9999999999999995E-8</v>
      </c>
      <c r="C272" s="59">
        <v>-8.9776546789999996E-14</v>
      </c>
      <c r="D272" s="42">
        <f>(ABS(B272)*40/1000000+7*0.000000001)*1000000/ABS(B272)</f>
        <v>70040.000000000015</v>
      </c>
      <c r="E272" s="59">
        <f>B272-(H272+D272)*B272/1000000</f>
        <v>9.2955000000000001E-8</v>
      </c>
      <c r="F272" s="59">
        <f>B272+(H272+D272)*B272/1000000</f>
        <v>1.0704499999999999E-7</v>
      </c>
      <c r="G272" s="42">
        <f>(C272-B272)*1000000/B272</f>
        <v>-1000000.8977654679</v>
      </c>
      <c r="H272" s="42">
        <f>(ABS(B272)*10+400*100*0.000000001)/ABS(B272)</f>
        <v>410</v>
      </c>
      <c r="I272" s="42">
        <f>G272*100/(D272+H272)</f>
        <v>-1419.4476902277754</v>
      </c>
      <c r="J272" s="10">
        <v>-2664127.724241971</v>
      </c>
      <c r="K272" t="s">
        <v>392</v>
      </c>
    </row>
    <row r="273" spans="1:11" ht="14.25" customHeight="1">
      <c r="A273" s="39" t="s">
        <v>393</v>
      </c>
      <c r="B273" s="61">
        <v>-9.9999999999999995E-8</v>
      </c>
      <c r="C273" s="62">
        <v>9.8112940420000001E-13</v>
      </c>
      <c r="D273" s="45">
        <f>(ABS(B273)*40/1000000+7*0.000000001)*1000000/ABS(B273)</f>
        <v>70040.000000000015</v>
      </c>
      <c r="E273" s="62">
        <f>B273-(H273+D273)*B273/1000000</f>
        <v>-9.2955000000000001E-8</v>
      </c>
      <c r="F273" s="62">
        <f>B273+(H273+D273)*B273/1000000</f>
        <v>-1.0704499999999999E-7</v>
      </c>
      <c r="G273" s="45">
        <f>(C273-B273)*1000000/B273</f>
        <v>-1000009.811294042</v>
      </c>
      <c r="H273" s="45">
        <f>(ABS(B273)*10+400*100*0.000000001)/ABS(B273)</f>
        <v>410</v>
      </c>
      <c r="I273" s="42">
        <f>G273*100/(D273+H273)</f>
        <v>-1419.4603425039629</v>
      </c>
      <c r="J273" s="4">
        <v>746230.8958618826</v>
      </c>
      <c r="K273" t="s">
        <v>392</v>
      </c>
    </row>
    <row r="274" spans="1:11" ht="14.25" customHeight="1">
      <c r="A274" s="36" t="s">
        <v>394</v>
      </c>
      <c r="B274" s="63">
        <v>-4.9999999999999998E-8</v>
      </c>
      <c r="C274" s="59">
        <v>2.3213649959999999E-12</v>
      </c>
      <c r="D274" s="42">
        <f>(ABS(B274)*40/1000000+7*0.000000001)*1000000/ABS(B274)</f>
        <v>140040.00000000003</v>
      </c>
      <c r="E274" s="59">
        <f>B274-(H274+D274)*B274/1000000</f>
        <v>-4.2957499999999999E-8</v>
      </c>
      <c r="F274" s="59">
        <f>B274+(H274+D274)*B274/1000000</f>
        <v>-5.7042499999999996E-8</v>
      </c>
      <c r="G274" s="42">
        <f>(C274-B274)*1000000/B274</f>
        <v>-1000046.4272999201</v>
      </c>
      <c r="H274" s="42">
        <f>(ABS(B274)*10+400*100*0.000000001)/ABS(B274)</f>
        <v>810.00000000000011</v>
      </c>
      <c r="I274" s="42">
        <f>G274*100/(D274+H274)</f>
        <v>-710.00811309898472</v>
      </c>
      <c r="J274" s="10">
        <v>333492.03666210669</v>
      </c>
      <c r="K274" t="s">
        <v>390</v>
      </c>
    </row>
    <row r="275" spans="1:11" ht="14.25" customHeight="1">
      <c r="A275" s="39" t="s">
        <v>387</v>
      </c>
      <c r="B275" s="61">
        <v>0</v>
      </c>
      <c r="C275" s="62">
        <v>-4.6869167839999999E-12</v>
      </c>
      <c r="D275" s="45"/>
      <c r="E275" s="62"/>
      <c r="F275" s="62"/>
      <c r="G275" s="64" t="s">
        <v>100</v>
      </c>
      <c r="H275" s="4"/>
      <c r="I275" s="42"/>
      <c r="J275" s="4">
        <v>-396259.11651198898</v>
      </c>
      <c r="K275" t="s">
        <v>388</v>
      </c>
    </row>
    <row r="276" spans="1:11" ht="14.25" customHeight="1">
      <c r="A276" s="36" t="s">
        <v>395</v>
      </c>
      <c r="B276" s="63">
        <v>4.9999999999999998E-7</v>
      </c>
      <c r="C276" s="59">
        <v>-4.224011423E-12</v>
      </c>
      <c r="D276" s="42">
        <f>(ABS(B276)*40/1000000+7*0.000000001)*1000000/ABS(B276)</f>
        <v>14040.000000000004</v>
      </c>
      <c r="E276" s="59">
        <f>B276-(H276+D276)*B276/1000000</f>
        <v>4.9293499999999999E-7</v>
      </c>
      <c r="F276" s="59">
        <f>B276+(H276+D276)*B276/1000000</f>
        <v>5.0706499999999997E-7</v>
      </c>
      <c r="G276" s="42">
        <f>(C276-B276)*1000000/B276</f>
        <v>-1000008.448022846</v>
      </c>
      <c r="H276" s="42">
        <f>(ABS(B276)*10+40*1*0.000001)/ABS(B276)</f>
        <v>90</v>
      </c>
      <c r="I276" s="42">
        <f>G276*100/(D276+H276)</f>
        <v>-7077.2006229500757</v>
      </c>
      <c r="J276" s="10">
        <v>-188484.08240150969</v>
      </c>
      <c r="K276" t="s">
        <v>396</v>
      </c>
    </row>
    <row r="277" spans="1:11" ht="14.25" customHeight="1">
      <c r="A277" s="39" t="s">
        <v>397</v>
      </c>
      <c r="B277" s="61">
        <v>9.9999999999999995E-7</v>
      </c>
      <c r="C277" s="62">
        <v>-4.3358802179999998E-12</v>
      </c>
      <c r="D277" s="45">
        <f>(ABS(B277)*40/1000000+7*0.000000001)*1000000/ABS(B277)</f>
        <v>7040.0000000000009</v>
      </c>
      <c r="E277" s="62">
        <f>B277-(H277+D277)*B277/1000000</f>
        <v>9.9290999999999991E-7</v>
      </c>
      <c r="F277" s="62">
        <f>B277+(H277+D277)*B277/1000000</f>
        <v>1.00709E-6</v>
      </c>
      <c r="G277" s="45">
        <f>(C277-B277)*1000000/B277</f>
        <v>-1000004.3358802181</v>
      </c>
      <c r="H277" s="45">
        <f>(ABS(B277)*10+40*1*0.000001)/ABS(B277)</f>
        <v>50</v>
      </c>
      <c r="I277" s="42">
        <f>G277*100/(D277+H277)</f>
        <v>-14104.433510299266</v>
      </c>
      <c r="J277" s="4">
        <v>-311560.84560740611</v>
      </c>
      <c r="K277" t="s">
        <v>398</v>
      </c>
    </row>
    <row r="278" spans="1:11" ht="14.25" customHeight="1">
      <c r="A278" s="36" t="s">
        <v>399</v>
      </c>
      <c r="B278" s="63">
        <v>-9.9999999999999995E-7</v>
      </c>
      <c r="C278" s="59">
        <v>-2.4032503340000002E-12</v>
      </c>
      <c r="D278" s="42">
        <f>(ABS(B278)*40/1000000+7*0.000000001)*1000000/ABS(B278)</f>
        <v>7040.0000000000009</v>
      </c>
      <c r="E278" s="59">
        <f>B278-(H278+D278)*B278/1000000</f>
        <v>-9.9290999999999991E-7</v>
      </c>
      <c r="F278" s="59">
        <f>B278+(H278+D278)*B278/1000000</f>
        <v>-1.00709E-6</v>
      </c>
      <c r="G278" s="42">
        <f>(C278-B278)*1000000/B278</f>
        <v>-999997.59674966603</v>
      </c>
      <c r="H278" s="42">
        <f>(ABS(B278)*10+40*1*0.000001)/ABS(B278)</f>
        <v>50</v>
      </c>
      <c r="I278" s="42">
        <f>G278*100/(D278+H278)</f>
        <v>-14104.338459092609</v>
      </c>
      <c r="J278" s="10">
        <v>-378394.34222540527</v>
      </c>
      <c r="K278" t="s">
        <v>398</v>
      </c>
    </row>
    <row r="279" spans="1:11" ht="14.25" customHeight="1">
      <c r="A279" s="39" t="s">
        <v>400</v>
      </c>
      <c r="B279" s="61">
        <v>-4.9999999999999998E-7</v>
      </c>
      <c r="C279" s="62">
        <v>-2.5652672110000001E-12</v>
      </c>
      <c r="D279" s="45">
        <f>(ABS(B279)*40/1000000+7*0.000000001)*1000000/ABS(B279)</f>
        <v>14040.000000000004</v>
      </c>
      <c r="E279" s="62">
        <f>B279-(H279+D279)*B279/1000000</f>
        <v>-4.9293499999999999E-7</v>
      </c>
      <c r="F279" s="62">
        <f>B279+(H279+D279)*B279/1000000</f>
        <v>-5.0706499999999997E-7</v>
      </c>
      <c r="G279" s="45">
        <f>(C279-B279)*1000000/B279</f>
        <v>-999994.869465578</v>
      </c>
      <c r="H279" s="45">
        <f>(ABS(B279)*10+40*1*0.000001)/ABS(B279)</f>
        <v>90</v>
      </c>
      <c r="I279" s="42">
        <f>G279*100/(D279+H279)</f>
        <v>-7077.1045255879535</v>
      </c>
      <c r="J279" s="4">
        <v>-682847.15490848082</v>
      </c>
      <c r="K279" t="s">
        <v>396</v>
      </c>
    </row>
    <row r="280" spans="1:11" ht="14.25" customHeight="1">
      <c r="A280" s="36" t="s">
        <v>387</v>
      </c>
      <c r="B280" s="63">
        <v>0</v>
      </c>
      <c r="C280" s="59">
        <v>-1.786913887E-11</v>
      </c>
      <c r="D280" s="42"/>
      <c r="E280" s="59"/>
      <c r="F280" s="59"/>
      <c r="G280" s="10" t="s">
        <v>100</v>
      </c>
      <c r="H280" s="10"/>
      <c r="I280" s="42"/>
      <c r="J280" s="10">
        <v>-234213.063497617</v>
      </c>
      <c r="K280" t="s">
        <v>388</v>
      </c>
    </row>
    <row r="281" spans="1:11" ht="14.25" customHeight="1">
      <c r="A281" s="39" t="s">
        <v>401</v>
      </c>
      <c r="B281" s="61">
        <v>5.0000000000000004E-6</v>
      </c>
      <c r="C281" s="62">
        <v>-1.6940871910000001E-11</v>
      </c>
      <c r="D281" s="45">
        <f>(ABS(B281)*40/1000000+7*0.000000001)*1000000/ABS(B281)</f>
        <v>1440</v>
      </c>
      <c r="E281" s="62">
        <f>B281-(H281+D281)*B281/1000000</f>
        <v>4.9926800000000008E-6</v>
      </c>
      <c r="F281" s="62">
        <f>B281+(H281+D281)*B281/1000000</f>
        <v>5.00732E-6</v>
      </c>
      <c r="G281" s="45">
        <f>(C281-B281)*1000000/B281</f>
        <v>-1000003.388174382</v>
      </c>
      <c r="H281" s="45">
        <f>(ABS(B281)*10+7*10*0.000001)/ABS(B281)</f>
        <v>23.999999999999996</v>
      </c>
      <c r="I281" s="42">
        <f>G281*100/(D281+H281)</f>
        <v>-68306.242361638113</v>
      </c>
      <c r="J281" s="4">
        <v>-277082.18855879211</v>
      </c>
      <c r="K281" t="s">
        <v>402</v>
      </c>
    </row>
    <row r="282" spans="1:11" ht="14.25" customHeight="1">
      <c r="A282" s="36" t="s">
        <v>403</v>
      </c>
      <c r="B282" s="63">
        <v>1.0000000000000001E-5</v>
      </c>
      <c r="C282" s="59">
        <v>-2.0057196690000001E-11</v>
      </c>
      <c r="D282" s="42">
        <f>(ABS(B282)*40/1000000+7*0.000000001)*1000000/ABS(B282)</f>
        <v>740.00000000000011</v>
      </c>
      <c r="E282" s="59">
        <f>B282-(H282+D282)*B282/1000000</f>
        <v>9.9924300000000015E-6</v>
      </c>
      <c r="F282" s="59">
        <f>B282+(H282+D282)*B282/1000000</f>
        <v>1.000757E-5</v>
      </c>
      <c r="G282" s="42">
        <f>(C282-B282)*1000000/B282</f>
        <v>-1000002.005719669</v>
      </c>
      <c r="H282" s="42">
        <f>(ABS(B282)*10+7*10*0.000001)/ABS(B282)</f>
        <v>17</v>
      </c>
      <c r="I282" s="42">
        <f>G282*100/(D282+H282)</f>
        <v>-132100.66125755204</v>
      </c>
      <c r="J282" s="10">
        <v>-361144.83693277609</v>
      </c>
      <c r="K282" t="s">
        <v>404</v>
      </c>
    </row>
    <row r="283" spans="1:11" ht="14.25" customHeight="1">
      <c r="A283" s="39" t="s">
        <v>405</v>
      </c>
      <c r="B283" s="61">
        <v>-1.0000000000000001E-5</v>
      </c>
      <c r="C283" s="62">
        <v>-1.2863127789999999E-11</v>
      </c>
      <c r="D283" s="45">
        <f>(ABS(B283)*40/1000000+7*0.000000001)*1000000/ABS(B283)</f>
        <v>740.00000000000011</v>
      </c>
      <c r="E283" s="62">
        <f>B283-(H283+D283)*B283/1000000</f>
        <v>-9.9924300000000015E-6</v>
      </c>
      <c r="F283" s="62">
        <f>B283+(H283+D283)*B283/1000000</f>
        <v>-1.000757E-5</v>
      </c>
      <c r="G283" s="45">
        <f>(C283-B283)*1000000/B283</f>
        <v>-999998.71368722094</v>
      </c>
      <c r="H283" s="45">
        <f>(ABS(B283)*10+7*10*0.000001)/ABS(B283)</f>
        <v>17</v>
      </c>
      <c r="I283" s="42">
        <f>G283*100/(D283+H283)</f>
        <v>-132100.226378761</v>
      </c>
      <c r="J283" s="4">
        <v>-464884.80215983302</v>
      </c>
      <c r="K283" t="s">
        <v>404</v>
      </c>
    </row>
    <row r="284" spans="1:11" ht="14.25" customHeight="1">
      <c r="A284" s="36" t="s">
        <v>406</v>
      </c>
      <c r="B284" s="63">
        <v>-5.0000000000000004E-6</v>
      </c>
      <c r="C284" s="59">
        <v>-1.7172938649999999E-11</v>
      </c>
      <c r="D284" s="42">
        <f>(ABS(B284)*40/1000000+7*0.000000001)*1000000/ABS(B284)</f>
        <v>1440</v>
      </c>
      <c r="E284" s="59">
        <f>B284-(H284+D284)*B284/1000000</f>
        <v>-4.9926800000000008E-6</v>
      </c>
      <c r="F284" s="59">
        <f>B284+(H284+D284)*B284/1000000</f>
        <v>-5.00732E-6</v>
      </c>
      <c r="G284" s="42">
        <f>(C284-B284)*1000000/B284</f>
        <v>-999996.56541226991</v>
      </c>
      <c r="H284" s="42">
        <f>(ABS(B284)*10+7*10*0.000001)/ABS(B284)</f>
        <v>23.999999999999996</v>
      </c>
      <c r="I284" s="42">
        <f>G284*100/(D284+H284)</f>
        <v>-68305.776325974715</v>
      </c>
      <c r="J284" s="10">
        <v>-325804.73165541608</v>
      </c>
      <c r="K284" t="s">
        <v>402</v>
      </c>
    </row>
    <row r="285" spans="1:11" ht="14.25" customHeight="1">
      <c r="A285" s="39" t="s">
        <v>387</v>
      </c>
      <c r="B285" s="61">
        <v>0</v>
      </c>
      <c r="C285" s="62">
        <v>-1.4759794849999999E-10</v>
      </c>
      <c r="D285" s="45"/>
      <c r="E285" s="62"/>
      <c r="F285" s="62"/>
      <c r="G285" s="64" t="s">
        <v>100</v>
      </c>
      <c r="H285" s="4"/>
      <c r="I285" s="42"/>
      <c r="J285" s="4">
        <v>-327774.40571733529</v>
      </c>
      <c r="K285" t="s">
        <v>388</v>
      </c>
    </row>
    <row r="286" spans="1:11" ht="14.25" customHeight="1">
      <c r="A286" s="36" t="s">
        <v>407</v>
      </c>
      <c r="B286" s="63">
        <v>5.0000000000000002E-5</v>
      </c>
      <c r="C286" s="59">
        <v>-1.49974727E-10</v>
      </c>
      <c r="D286" s="42">
        <f>(ABS(B286)*40/1000000+7*0.000000001)*1000000/ABS(B286)</f>
        <v>180</v>
      </c>
      <c r="E286" s="59">
        <f>B286-(H286+D286)*B286/1000000</f>
        <v>4.9989900000000001E-5</v>
      </c>
      <c r="F286" s="59">
        <f>B286+(H286+D286)*B286/1000000</f>
        <v>5.0010100000000004E-5</v>
      </c>
      <c r="G286" s="42">
        <f>(C286-B286)*1000000/B286</f>
        <v>-1000002.99949454</v>
      </c>
      <c r="H286" s="42">
        <f>(ABS(B286)*10+6*100*0.000001)/ABS(B286)</f>
        <v>21.999999999999996</v>
      </c>
      <c r="I286" s="42">
        <f>G286*100/(D286+H286)</f>
        <v>-495050.98984878225</v>
      </c>
      <c r="J286" s="10">
        <v>-217301.81879036411</v>
      </c>
      <c r="K286" t="s">
        <v>408</v>
      </c>
    </row>
    <row r="287" spans="1:11" ht="14.25" customHeight="1">
      <c r="A287" s="39" t="s">
        <v>409</v>
      </c>
      <c r="B287" s="61">
        <v>1E-4</v>
      </c>
      <c r="C287" s="62">
        <v>-1.7516857970000001E-10</v>
      </c>
      <c r="D287" s="45">
        <f>(ABS(B287)*40/1000000+7*0.000000001)*1000000/ABS(B287)</f>
        <v>110</v>
      </c>
      <c r="E287" s="62">
        <f>B287-(H287+D287)*B287/1000000</f>
        <v>9.9987400000000004E-5</v>
      </c>
      <c r="F287" s="62">
        <f>B287+(H287+D287)*B287/1000000</f>
        <v>1.0001260000000001E-4</v>
      </c>
      <c r="G287" s="45">
        <f>(C287-B287)*1000000/B287</f>
        <v>-1000001.751685797</v>
      </c>
      <c r="H287" s="45">
        <f>(ABS(B287)*10+6*100*0.000001)/ABS(B287)</f>
        <v>15.999999999999998</v>
      </c>
      <c r="I287" s="42">
        <f>G287*100/(D287+H287)</f>
        <v>-793652.18387761666</v>
      </c>
      <c r="J287" s="4">
        <v>-249271.90497264481</v>
      </c>
      <c r="K287" t="s">
        <v>410</v>
      </c>
    </row>
    <row r="288" spans="1:11" ht="14.25" customHeight="1">
      <c r="A288" s="36" t="s">
        <v>411</v>
      </c>
      <c r="B288" s="63">
        <v>-1E-4</v>
      </c>
      <c r="C288" s="59">
        <v>-1.354763778E-10</v>
      </c>
      <c r="D288" s="42">
        <f>(ABS(B288)*40/1000000+7*0.000000001)*1000000/ABS(B288)</f>
        <v>110</v>
      </c>
      <c r="E288" s="59">
        <f>B288-(H288+D288)*B288/1000000</f>
        <v>-9.9987400000000004E-5</v>
      </c>
      <c r="F288" s="59">
        <f>B288+(H288+D288)*B288/1000000</f>
        <v>-1.0001260000000001E-4</v>
      </c>
      <c r="G288" s="42">
        <f>(C288-B288)*1000000/B288</f>
        <v>-999998.64523622207</v>
      </c>
      <c r="H288" s="42">
        <f>(ABS(B288)*10+6*100*0.000001)/ABS(B288)</f>
        <v>15.999999999999998</v>
      </c>
      <c r="I288" s="42">
        <f>G288*100/(D288+H288)</f>
        <v>-793649.7184414462</v>
      </c>
      <c r="J288" s="10">
        <v>-244514.21126544231</v>
      </c>
      <c r="K288" t="s">
        <v>410</v>
      </c>
    </row>
    <row r="289" spans="1:11" ht="14.25" customHeight="1">
      <c r="A289" s="39" t="s">
        <v>412</v>
      </c>
      <c r="B289" s="61">
        <v>-5.0000000000000002E-5</v>
      </c>
      <c r="C289" s="62">
        <v>-1.069550351E-10</v>
      </c>
      <c r="D289" s="45">
        <f>(ABS(B289)*40/1000000+7*0.000000001)*1000000/ABS(B289)</f>
        <v>180</v>
      </c>
      <c r="E289" s="62">
        <f>B289-(H289+D289)*B289/1000000</f>
        <v>-4.9989900000000001E-5</v>
      </c>
      <c r="F289" s="62">
        <f>B289+(H289+D289)*B289/1000000</f>
        <v>-5.0010100000000004E-5</v>
      </c>
      <c r="G289" s="45">
        <f>(C289-B289)*1000000/B289</f>
        <v>-999997.86089929799</v>
      </c>
      <c r="H289" s="45">
        <f>(ABS(B289)*10+6*100*0.000001)/ABS(B289)</f>
        <v>21.999999999999996</v>
      </c>
      <c r="I289" s="42">
        <f>G289*100/(D289+H289)</f>
        <v>-495048.44598975149</v>
      </c>
      <c r="J289" s="4">
        <v>-433869.72211290337</v>
      </c>
      <c r="K289" t="s">
        <v>408</v>
      </c>
    </row>
    <row r="290" spans="1:11" ht="14.25" customHeight="1">
      <c r="A290" s="36" t="s">
        <v>387</v>
      </c>
      <c r="B290" s="63">
        <v>0</v>
      </c>
      <c r="C290" s="59">
        <v>-1.243347211E-9</v>
      </c>
      <c r="D290" s="10"/>
      <c r="E290" s="59"/>
      <c r="F290" s="59"/>
      <c r="G290" s="10" t="s">
        <v>100</v>
      </c>
      <c r="H290" s="10"/>
      <c r="I290" s="42"/>
      <c r="J290" s="10">
        <v>-419145.33273264969</v>
      </c>
      <c r="K290" t="s">
        <v>388</v>
      </c>
    </row>
    <row r="291" spans="1:11" ht="14.25" customHeight="1">
      <c r="A291" s="39" t="s">
        <v>413</v>
      </c>
      <c r="B291" s="61">
        <v>5.0000000000000001E-4</v>
      </c>
      <c r="C291" s="62">
        <v>-1.494458008E-9</v>
      </c>
      <c r="D291" s="45">
        <f>(ABS(B291)*30/1000000+8*0.000000001)*1000000/ABS(B291)</f>
        <v>46</v>
      </c>
      <c r="E291" s="62">
        <f>B291-(H291+D291)*B291/1000000</f>
        <v>4.9996800000000005E-4</v>
      </c>
      <c r="F291" s="62">
        <f>B291+(H291+D291)*B291/1000000</f>
        <v>5.0003199999999997E-4</v>
      </c>
      <c r="G291" s="45">
        <f>(C291-B291)*1000000/B291</f>
        <v>-1000002.988916016</v>
      </c>
      <c r="H291" s="45">
        <f>(ABS(B291)*10+4*1*0.001)/ABS(B291)</f>
        <v>18</v>
      </c>
      <c r="I291" s="42">
        <f>G291*100/(D291+H291)</f>
        <v>-1562504.6701812749</v>
      </c>
      <c r="J291" s="4">
        <v>-219465.6469543906</v>
      </c>
      <c r="K291" t="s">
        <v>414</v>
      </c>
    </row>
    <row r="292" spans="1:11" ht="14.25" customHeight="1">
      <c r="A292" s="36" t="s">
        <v>415</v>
      </c>
      <c r="B292" s="63">
        <v>1E-3</v>
      </c>
      <c r="C292" s="59">
        <v>-1.210214537E-9</v>
      </c>
      <c r="D292" s="42">
        <f>(ABS(B292)*30/1000000+8*0.000000001)*1000000/ABS(B292)</f>
        <v>38</v>
      </c>
      <c r="E292" s="59">
        <f>B292-(H292+D292)*B292/1000000</f>
        <v>9.9994800000000007E-4</v>
      </c>
      <c r="F292" s="59">
        <f>B292+(H292+D292)*B292/1000000</f>
        <v>1.000052E-3</v>
      </c>
      <c r="G292" s="42">
        <f>(C292-B292)*1000000/B292</f>
        <v>-1000001.2102145371</v>
      </c>
      <c r="H292" s="42">
        <f>(ABS(B292)*10+4*1*0.001)/ABS(B292)</f>
        <v>14</v>
      </c>
      <c r="I292" s="42">
        <f>G292*100/(D292+H292)</f>
        <v>-1923079.2504125712</v>
      </c>
      <c r="J292" s="10">
        <v>-267268.51715900592</v>
      </c>
      <c r="K292" t="s">
        <v>416</v>
      </c>
    </row>
    <row r="293" spans="1:11" ht="14.25" customHeight="1">
      <c r="A293" s="39" t="s">
        <v>417</v>
      </c>
      <c r="B293" s="61">
        <v>-1E-3</v>
      </c>
      <c r="C293" s="62">
        <v>-8.9283838999999995E-10</v>
      </c>
      <c r="D293" s="45">
        <f>(ABS(B293)*30/1000000+8*0.000000001)*1000000/ABS(B293)</f>
        <v>38</v>
      </c>
      <c r="E293" s="62">
        <f>B293-(H293+D293)*B293/1000000</f>
        <v>-9.9994800000000007E-4</v>
      </c>
      <c r="F293" s="62">
        <f>B293+(H293+D293)*B293/1000000</f>
        <v>-1.000052E-3</v>
      </c>
      <c r="G293" s="45">
        <f>(C293-B293)*1000000/B293</f>
        <v>-999999.10716161004</v>
      </c>
      <c r="H293" s="45">
        <f>(ABS(B293)*10+4*1*0.001)/ABS(B293)</f>
        <v>14</v>
      </c>
      <c r="I293" s="42">
        <f>G293*100/(D293+H293)</f>
        <v>-1923075.2060800192</v>
      </c>
      <c r="J293" s="4">
        <v>-365738.12092354451</v>
      </c>
      <c r="K293" t="s">
        <v>416</v>
      </c>
    </row>
    <row r="294" spans="1:11" ht="14.25" customHeight="1">
      <c r="A294" s="36" t="s">
        <v>418</v>
      </c>
      <c r="B294" s="63">
        <v>-5.0000000000000001E-4</v>
      </c>
      <c r="C294" s="59">
        <v>-1.032344388E-9</v>
      </c>
      <c r="D294" s="42">
        <f>(ABS(B294)*30/1000000+8*0.000000001)*1000000/ABS(B294)</f>
        <v>46</v>
      </c>
      <c r="E294" s="59">
        <f>B294-(H294+D294)*B294/1000000</f>
        <v>-4.9996800000000005E-4</v>
      </c>
      <c r="F294" s="59">
        <f>B294+(H294+D294)*B294/1000000</f>
        <v>-5.0003199999999997E-4</v>
      </c>
      <c r="G294" s="42">
        <f>(C294-B294)*1000000/B294</f>
        <v>-999997.93531122396</v>
      </c>
      <c r="H294" s="42">
        <f>(ABS(B294)*10+4*1*0.001)/ABS(B294)</f>
        <v>18</v>
      </c>
      <c r="I294" s="42">
        <f>G294*100/(D294+H294)</f>
        <v>-1562496.7739237875</v>
      </c>
      <c r="J294" s="10">
        <v>-326523.42133979779</v>
      </c>
      <c r="K294" t="s">
        <v>414</v>
      </c>
    </row>
    <row r="295" spans="1:11" ht="14.25" customHeight="1">
      <c r="A295" s="39" t="s">
        <v>419</v>
      </c>
      <c r="B295" s="61">
        <v>0</v>
      </c>
      <c r="C295" s="62">
        <v>-7.8477516269999995E-9</v>
      </c>
      <c r="D295" s="4"/>
      <c r="E295" s="62"/>
      <c r="F295" s="62"/>
      <c r="G295" s="64" t="s">
        <v>100</v>
      </c>
      <c r="H295" s="4"/>
      <c r="I295" s="42"/>
      <c r="J295" s="4">
        <v>-273661.18710186513</v>
      </c>
      <c r="K295" t="s">
        <v>388</v>
      </c>
    </row>
    <row r="296" spans="1:11" ht="14.25" customHeight="1">
      <c r="A296" s="36" t="s">
        <v>420</v>
      </c>
      <c r="B296" s="63">
        <v>5.0000000000000001E-3</v>
      </c>
      <c r="C296" s="59">
        <v>-9.5897800099999994E-9</v>
      </c>
      <c r="D296" s="42">
        <f>(ABS(B296)*30/1000000+50*0.000000001)*1000000/ABS(B296)</f>
        <v>39.999999999999993</v>
      </c>
      <c r="E296" s="59">
        <f>B296-(H296+D296)*B296/1000000</f>
        <v>4.9997100000000001E-3</v>
      </c>
      <c r="F296" s="59">
        <f>B296+(H296+D296)*B296/1000000</f>
        <v>5.0002900000000001E-3</v>
      </c>
      <c r="G296" s="36">
        <f>(C296-B296)*1000000/B296</f>
        <v>-1000001.9179560021</v>
      </c>
      <c r="H296" s="42">
        <f>(ABS(B296)*10+4*10*0.001)/ABS(B296)</f>
        <v>18</v>
      </c>
      <c r="I296" s="42">
        <f>G296*100/(D296+H296)</f>
        <v>-1724141.2378551762</v>
      </c>
      <c r="J296" s="10">
        <v>-312167.53520113061</v>
      </c>
      <c r="K296" t="s">
        <v>421</v>
      </c>
    </row>
    <row r="297" spans="1:11" ht="14.25" customHeight="1">
      <c r="A297" s="39" t="s">
        <v>422</v>
      </c>
      <c r="B297" s="61">
        <v>0.01</v>
      </c>
      <c r="C297" s="62">
        <v>-1.060740055E-8</v>
      </c>
      <c r="D297" s="45">
        <f>(ABS(B297)*30/1000000+50*0.000000001)*1000000/ABS(B297)</f>
        <v>35</v>
      </c>
      <c r="E297" s="62">
        <f>B297-(H297+D297)*B297/1000000</f>
        <v>9.9995099999999996E-3</v>
      </c>
      <c r="F297" s="62">
        <f>B297+(H297+D297)*B297/1000000</f>
        <v>1.0000490000000001E-2</v>
      </c>
      <c r="G297" s="46">
        <f>(C297-B297)*1000000/B297</f>
        <v>-1000001.0607400551</v>
      </c>
      <c r="H297" s="45">
        <f>(ABS(B297)*10+4*10*0.001)/ABS(B297)</f>
        <v>14.000000000000002</v>
      </c>
      <c r="I297" s="42">
        <f>G297*100/(D297+H297)</f>
        <v>-2040818.4913062346</v>
      </c>
      <c r="J297" s="4">
        <v>-150210.81528408459</v>
      </c>
      <c r="K297" t="s">
        <v>423</v>
      </c>
    </row>
    <row r="298" spans="1:11" ht="14.25" customHeight="1">
      <c r="A298" s="36" t="s">
        <v>424</v>
      </c>
      <c r="B298" s="63">
        <v>-0.01</v>
      </c>
      <c r="C298" s="59">
        <v>-1.117657814E-8</v>
      </c>
      <c r="D298" s="42">
        <f>(ABS(B298)*30/1000000+50*0.000000001)*1000000/ABS(B298)</f>
        <v>35</v>
      </c>
      <c r="E298" s="59">
        <f>B298-(H298+D298)*B298/1000000</f>
        <v>-9.9995099999999996E-3</v>
      </c>
      <c r="F298" s="59">
        <f>B298+(H298+D298)*B298/1000000</f>
        <v>-1.0000490000000001E-2</v>
      </c>
      <c r="G298" s="36">
        <f>(C298-B298)*1000000/B298</f>
        <v>-999998.88234218594</v>
      </c>
      <c r="H298" s="42">
        <f>(ABS(B298)*10+4*10*0.001)/ABS(B298)</f>
        <v>14.000000000000002</v>
      </c>
      <c r="I298" s="42">
        <f>G298*100/(D298+H298)</f>
        <v>-2040814.0455962978</v>
      </c>
      <c r="J298" s="10">
        <v>-212544.599429472</v>
      </c>
      <c r="K298" t="s">
        <v>423</v>
      </c>
    </row>
    <row r="299" spans="1:11" ht="14.25" customHeight="1">
      <c r="A299" s="39" t="s">
        <v>425</v>
      </c>
      <c r="B299" s="61">
        <v>-5.0000000000000001E-3</v>
      </c>
      <c r="C299" s="62">
        <v>-1.0986852280000001E-8</v>
      </c>
      <c r="D299" s="45">
        <f>(ABS(B299)*30/1000000+50*0.000000001)*1000000/ABS(B299)</f>
        <v>39.999999999999993</v>
      </c>
      <c r="E299" s="62">
        <f>B299-(H299+D299)*B299/1000000</f>
        <v>-4.9997100000000001E-3</v>
      </c>
      <c r="F299" s="62">
        <f>B299+(H299+D299)*B299/1000000</f>
        <v>-5.0002900000000001E-3</v>
      </c>
      <c r="G299" s="46">
        <f>(C299-B299)*1000000/B299</f>
        <v>-999997.80262954393</v>
      </c>
      <c r="H299" s="45">
        <f>(ABS(B299)*10+4*10*0.001)/ABS(B299)</f>
        <v>18</v>
      </c>
      <c r="I299" s="42">
        <f>G299*100/(D299+H299)</f>
        <v>-1724134.1424647311</v>
      </c>
      <c r="J299" s="4">
        <v>-199083.07817308349</v>
      </c>
      <c r="K299" t="s">
        <v>421</v>
      </c>
    </row>
    <row r="300" spans="1:11" ht="14.25" customHeight="1">
      <c r="A300" s="36" t="s">
        <v>419</v>
      </c>
      <c r="B300" s="63">
        <v>0</v>
      </c>
      <c r="C300" s="59">
        <v>-6.2035446559999993E-8</v>
      </c>
      <c r="D300" s="10"/>
      <c r="E300" s="59"/>
      <c r="F300" s="59"/>
      <c r="G300" s="10" t="s">
        <v>100</v>
      </c>
      <c r="H300" s="10"/>
      <c r="I300" s="42"/>
      <c r="J300" s="10">
        <v>-337985.29047859798</v>
      </c>
      <c r="K300" t="s">
        <v>388</v>
      </c>
    </row>
    <row r="301" spans="1:11" ht="14.25" customHeight="1">
      <c r="A301" s="39" t="s">
        <v>426</v>
      </c>
      <c r="B301" s="61">
        <v>0.05</v>
      </c>
      <c r="C301" s="62">
        <v>-4.4538269320000003E-8</v>
      </c>
      <c r="D301" s="45">
        <f>(ABS(B301)*40/1000000+0.8*0.000000001)*1000000/ABS(B301)</f>
        <v>40.015999999999998</v>
      </c>
      <c r="E301" s="62">
        <f>B301-(H301+D301)*B301/1000000</f>
        <v>4.9996349200000005E-2</v>
      </c>
      <c r="F301" s="62">
        <f>B301+(H301+D301)*B301/1000000</f>
        <v>5.00036508E-2</v>
      </c>
      <c r="G301" s="45">
        <f>(C301-B301)*1000000/B301</f>
        <v>-1000000.8907653865</v>
      </c>
      <c r="H301" s="45">
        <f>(ABS(B301)*25+4*100*0.001)/ABS(B301)</f>
        <v>32.999999999999993</v>
      </c>
      <c r="I301" s="42">
        <f>G301*100/(D301+H301)</f>
        <v>-1369564.0555020634</v>
      </c>
      <c r="J301" s="4">
        <v>-374905.5058972066</v>
      </c>
      <c r="K301" t="s">
        <v>427</v>
      </c>
    </row>
    <row r="302" spans="1:11" ht="14.25" customHeight="1">
      <c r="A302" s="36" t="s">
        <v>428</v>
      </c>
      <c r="B302" s="63">
        <v>0.1</v>
      </c>
      <c r="C302" s="59">
        <v>-4.6128921800000001E-8</v>
      </c>
      <c r="D302" s="42">
        <f>(ABS(B302)*40/1000000+0.8*0.000000001)*1000000/ABS(B302)</f>
        <v>40.007999999999996</v>
      </c>
      <c r="E302" s="59">
        <f>B302-(H302+D302)*B302/1000000</f>
        <v>9.9993099200000005E-2</v>
      </c>
      <c r="F302" s="59">
        <f>B302+(H302+D302)*B302/1000000</f>
        <v>0.10000690080000001</v>
      </c>
      <c r="G302" s="42">
        <f>(C302-B302)*1000000/B302</f>
        <v>-1000000.4612892179</v>
      </c>
      <c r="H302" s="42">
        <f>(ABS(B302)*25+4*100*0.001)/ABS(B302)</f>
        <v>28.999999999999996</v>
      </c>
      <c r="I302" s="42">
        <f>G302*100/(D302+H302)</f>
        <v>-1449108.0183300748</v>
      </c>
      <c r="J302" s="10">
        <v>-543308.66403886362</v>
      </c>
      <c r="K302" t="s">
        <v>209</v>
      </c>
    </row>
    <row r="303" spans="1:11" ht="14.25" customHeight="1">
      <c r="A303" s="39" t="s">
        <v>429</v>
      </c>
      <c r="B303" s="61">
        <v>-0.1</v>
      </c>
      <c r="C303" s="62">
        <v>-3.9766311899999999E-8</v>
      </c>
      <c r="D303" s="45">
        <f>(ABS(B303)*40/1000000+0.8*0.000000001)*1000000/ABS(B303)</f>
        <v>40.007999999999996</v>
      </c>
      <c r="E303" s="62">
        <f>B303-(H303+D303)*B303/1000000</f>
        <v>-9.9993099200000005E-2</v>
      </c>
      <c r="F303" s="62">
        <f>B303+(H303+D303)*B303/1000000</f>
        <v>-0.10000690080000001</v>
      </c>
      <c r="G303" s="45">
        <f>(C303-B303)*1000000/B303</f>
        <v>-999999.60233688098</v>
      </c>
      <c r="H303" s="45">
        <f>(ABS(B303)*25+4*100*0.001)/ABS(B303)</f>
        <v>28.999999999999996</v>
      </c>
      <c r="I303" s="42">
        <f>G303*100/(D303+H303)</f>
        <v>-1449106.7736159302</v>
      </c>
      <c r="J303" s="4">
        <v>-869048.01044474414</v>
      </c>
      <c r="K303" t="s">
        <v>209</v>
      </c>
    </row>
    <row r="304" spans="1:11" ht="14.25" customHeight="1">
      <c r="A304" s="36" t="s">
        <v>430</v>
      </c>
      <c r="B304" s="63">
        <v>-0.05</v>
      </c>
      <c r="C304" s="59">
        <v>-4.6128921800000001E-8</v>
      </c>
      <c r="D304" s="42">
        <f>(ABS(B304)*40/1000000+0.8*0.000000001)*1000000/ABS(B304)</f>
        <v>40.015999999999998</v>
      </c>
      <c r="E304" s="59">
        <f>B304-(H304+D304)*B304/1000000</f>
        <v>-4.9996349200000005E-2</v>
      </c>
      <c r="F304" s="59">
        <f>B304+(H304+D304)*B304/1000000</f>
        <v>-5.00036508E-2</v>
      </c>
      <c r="G304" s="42">
        <f>(C304-B304)*1000000/B304</f>
        <v>-999999.07742156391</v>
      </c>
      <c r="H304" s="42">
        <f>(ABS(B304)*25+4*100*0.001)/ABS(B304)</f>
        <v>32.999999999999993</v>
      </c>
      <c r="I304" s="42">
        <f>G304*100/(D304+H304)</f>
        <v>-1369561.5720137558</v>
      </c>
      <c r="J304" s="10">
        <v>-660244.53284781368</v>
      </c>
      <c r="K304" t="s">
        <v>427</v>
      </c>
    </row>
    <row r="305" spans="1:11" ht="14.25" customHeight="1">
      <c r="A305" s="39" t="s">
        <v>431</v>
      </c>
      <c r="B305" s="61">
        <v>0</v>
      </c>
      <c r="C305" s="62">
        <v>-1.031580583E-6</v>
      </c>
      <c r="D305" s="4"/>
      <c r="E305" s="62"/>
      <c r="F305" s="62"/>
      <c r="G305" s="64" t="s">
        <v>100</v>
      </c>
      <c r="H305" s="4"/>
      <c r="I305" s="42"/>
      <c r="J305" s="4">
        <v>-189480.9369804931</v>
      </c>
      <c r="K305" t="s">
        <v>388</v>
      </c>
    </row>
    <row r="306" spans="1:11" ht="14.25" customHeight="1">
      <c r="A306" s="36" t="s">
        <v>432</v>
      </c>
      <c r="B306" s="63">
        <v>0.5</v>
      </c>
      <c r="C306" s="59">
        <v>-6.7586314029999999E-7</v>
      </c>
      <c r="D306" s="42">
        <f>(ABS(B306)*60/1000000+15*0.000000001)*1000000/ABS(B306)</f>
        <v>60.03</v>
      </c>
      <c r="E306" s="59">
        <f>B306-(H306+D306)*B306/1000000</f>
        <v>0.499909985</v>
      </c>
      <c r="F306" s="59">
        <f>B306+(H306+D306)*B306/1000000</f>
        <v>0.50009001500000005</v>
      </c>
      <c r="G306" s="42">
        <f>(C306-B306)*1000000/B306</f>
        <v>-1000001.3517262806</v>
      </c>
      <c r="H306" s="42">
        <f>(ABS(B306)*100+10*1)/ABS(B306)</f>
        <v>120</v>
      </c>
      <c r="I306" s="42">
        <f>G306*100/(D306+H306)</f>
        <v>-555463.72922639595</v>
      </c>
      <c r="J306" s="10">
        <v>-396657.12253555091</v>
      </c>
      <c r="K306" t="s">
        <v>433</v>
      </c>
    </row>
    <row r="307" spans="1:11" ht="14.25" customHeight="1">
      <c r="A307" s="39" t="s">
        <v>434</v>
      </c>
      <c r="B307" s="61">
        <v>1</v>
      </c>
      <c r="C307" s="62">
        <v>-9.7822296620000004E-7</v>
      </c>
      <c r="D307" s="45">
        <f>(ABS(B307)*60/1000000+15*0.000000001)*1000000/ABS(B307)</f>
        <v>60.015000000000001</v>
      </c>
      <c r="E307" s="62">
        <f>B307-(H307+D307)*B307/1000000</f>
        <v>0.99982998499999998</v>
      </c>
      <c r="F307" s="62">
        <f>B307+(H307+D307)*B307/1000000</f>
        <v>1.0001700149999999</v>
      </c>
      <c r="G307" s="45">
        <f>(C307-B307)*1000000/B307</f>
        <v>-1000000.9782229662</v>
      </c>
      <c r="H307" s="45">
        <f>(ABS(B307)*100+10*1)/ABS(B307)</f>
        <v>110</v>
      </c>
      <c r="I307" s="42">
        <f>G307*100/(D307+H307)</f>
        <v>-588183.97095724859</v>
      </c>
      <c r="J307" s="4">
        <v>-306465.37895175262</v>
      </c>
      <c r="K307" t="s">
        <v>435</v>
      </c>
    </row>
    <row r="308" spans="1:11" ht="14.25" customHeight="1">
      <c r="A308" s="36" t="s">
        <v>436</v>
      </c>
      <c r="B308" s="63">
        <v>-1</v>
      </c>
      <c r="C308" s="59">
        <v>-7.8257837289999996E-7</v>
      </c>
      <c r="D308" s="42">
        <f>(ABS(B308)*60/1000000+15*0.000000001)*1000000/ABS(B308)</f>
        <v>60.015000000000001</v>
      </c>
      <c r="E308" s="59">
        <f>B308-(H308+D308)*B308/1000000</f>
        <v>-0.99982998499999998</v>
      </c>
      <c r="F308" s="59">
        <f>B308+(H308+D308)*B308/1000000</f>
        <v>-1.0001700149999999</v>
      </c>
      <c r="G308" s="42">
        <f>(C308-B308)*1000000/B308</f>
        <v>-999999.21742162714</v>
      </c>
      <c r="H308" s="42">
        <f>(ABS(B308)*100+10*1)/ABS(B308)</f>
        <v>110</v>
      </c>
      <c r="I308" s="42">
        <f>G308*100/(D308+H308)</f>
        <v>-588182.93528313807</v>
      </c>
      <c r="J308" s="10">
        <v>-379809.22897239041</v>
      </c>
      <c r="K308" t="s">
        <v>435</v>
      </c>
    </row>
    <row r="309" spans="1:11" ht="14.25" customHeight="1">
      <c r="A309" s="39" t="s">
        <v>437</v>
      </c>
      <c r="B309" s="61">
        <v>-0.5</v>
      </c>
      <c r="C309" s="62">
        <v>-6.047196518E-7</v>
      </c>
      <c r="D309" s="45">
        <f>(ABS(B309)*60/1000000+15*0.000000001)*1000000/ABS(B309)</f>
        <v>60.03</v>
      </c>
      <c r="E309" s="62">
        <f>B309-(H309+D309)*B309/1000000</f>
        <v>-0.499909985</v>
      </c>
      <c r="F309" s="62">
        <f>B309+(H309+D309)*B309/1000000</f>
        <v>-0.50009001500000005</v>
      </c>
      <c r="G309" s="45">
        <f>(C309-B309)*1000000/B309</f>
        <v>-999998.79056069639</v>
      </c>
      <c r="H309" s="45">
        <f>(ABS(B309)*100+10*1)/ABS(B309)</f>
        <v>120</v>
      </c>
      <c r="I309" s="42">
        <f>G309*100/(D309+H309)</f>
        <v>-555462.30659373244</v>
      </c>
      <c r="J309" s="4">
        <v>-526544.52342450875</v>
      </c>
      <c r="K309" t="s">
        <v>433</v>
      </c>
    </row>
    <row r="310" spans="1:11" ht="14.25" customHeight="1"/>
    <row r="311" spans="1:11" ht="14.25" customHeight="1" thickBot="1">
      <c r="D311" s="79" t="s">
        <v>438</v>
      </c>
      <c r="E311" s="80"/>
      <c r="F311" s="80"/>
    </row>
    <row r="312" spans="1:11" ht="25.5" customHeight="1">
      <c r="A312" s="22" t="s">
        <v>439</v>
      </c>
      <c r="B312" s="16" t="s">
        <v>90</v>
      </c>
      <c r="C312" s="16" t="s">
        <v>440</v>
      </c>
      <c r="D312" s="20" t="s">
        <v>196</v>
      </c>
      <c r="E312" s="16" t="s">
        <v>441</v>
      </c>
      <c r="F312" s="16" t="s">
        <v>442</v>
      </c>
      <c r="G312" s="22" t="s">
        <v>219</v>
      </c>
      <c r="H312" s="22" t="s">
        <v>200</v>
      </c>
      <c r="I312" s="22" t="s">
        <v>97</v>
      </c>
      <c r="J312" s="22" t="s">
        <v>143</v>
      </c>
    </row>
    <row r="313" spans="1:11" ht="14.25" customHeight="1">
      <c r="A313" s="7" t="s">
        <v>443</v>
      </c>
      <c r="B313" s="63">
        <v>1.0000000000000001E-5</v>
      </c>
      <c r="C313" s="47">
        <v>5.751015192E-8</v>
      </c>
      <c r="D313" s="42">
        <f t="shared" ref="D313:D318" si="38">(B313*120/1000000+10*0.000000001)*1000000/B313</f>
        <v>1120</v>
      </c>
      <c r="E313" s="47">
        <f t="shared" ref="E313:E330" si="39">B313-B313*D313/1000000-B313*H313/100</f>
        <v>9.9528000000000007E-6</v>
      </c>
      <c r="F313" s="47">
        <f t="shared" ref="F313:F330" si="40">B313+B313*D313/1000000+B313*H313/100</f>
        <v>1.0047200000000001E-5</v>
      </c>
      <c r="G313" s="43">
        <f t="shared" ref="G313:G330" si="41">(C313-B313)*100/B313</f>
        <v>-99.424898480799996</v>
      </c>
      <c r="H313" s="42">
        <f>(10*0.06+100*0.03)/10</f>
        <v>0.36</v>
      </c>
      <c r="I313" s="42">
        <f t="shared" ref="I313:I330" si="42">G313*100/(H313+D313/10000)</f>
        <v>-21064.597135762713</v>
      </c>
      <c r="J313" s="7">
        <v>20090.397488429251</v>
      </c>
      <c r="K313" t="s">
        <v>444</v>
      </c>
    </row>
    <row r="314" spans="1:11" ht="14.25" customHeight="1">
      <c r="A314" s="39" t="s">
        <v>445</v>
      </c>
      <c r="B314" s="61">
        <v>1.0000000000000001E-5</v>
      </c>
      <c r="C314" s="48">
        <v>5.9422092899999999E-8</v>
      </c>
      <c r="D314" s="45">
        <f t="shared" si="38"/>
        <v>1120</v>
      </c>
      <c r="E314" s="48">
        <f t="shared" si="39"/>
        <v>9.9528000000000007E-6</v>
      </c>
      <c r="F314" s="48">
        <f t="shared" si="40"/>
        <v>1.0047200000000001E-5</v>
      </c>
      <c r="G314" s="45">
        <f t="shared" si="41"/>
        <v>-99.405779070999998</v>
      </c>
      <c r="H314" s="45">
        <f>(10*0.06+100*0.03)/10</f>
        <v>0.36</v>
      </c>
      <c r="I314" s="42">
        <f t="shared" si="42"/>
        <v>-21060.54641334746</v>
      </c>
      <c r="J314" s="4">
        <v>28734.268452488868</v>
      </c>
      <c r="K314" t="s">
        <v>444</v>
      </c>
    </row>
    <row r="315" spans="1:11" ht="14.25" customHeight="1">
      <c r="A315" s="36" t="s">
        <v>446</v>
      </c>
      <c r="B315" s="63">
        <v>1.0000000000000001E-5</v>
      </c>
      <c r="C315" s="65">
        <v>5.9774096570000003E-8</v>
      </c>
      <c r="D315" s="42">
        <f t="shared" si="38"/>
        <v>1120</v>
      </c>
      <c r="E315" s="65">
        <f t="shared" si="39"/>
        <v>9.9528000000000007E-6</v>
      </c>
      <c r="F315" s="65">
        <f t="shared" si="40"/>
        <v>1.0047200000000001E-5</v>
      </c>
      <c r="G315" s="66">
        <f t="shared" si="41"/>
        <v>-99.402259034299988</v>
      </c>
      <c r="H315" s="42">
        <f>(10*0.06+100*0.03)/10</f>
        <v>0.36</v>
      </c>
      <c r="I315" s="42">
        <f t="shared" si="42"/>
        <v>-21059.800642860169</v>
      </c>
      <c r="J315" s="10">
        <v>23671.20992974854</v>
      </c>
      <c r="K315" t="s">
        <v>444</v>
      </c>
    </row>
    <row r="316" spans="1:11" ht="14.25" customHeight="1">
      <c r="A316" s="39" t="s">
        <v>447</v>
      </c>
      <c r="B316" s="61">
        <v>1E-4</v>
      </c>
      <c r="C316" s="48">
        <v>5.618902106E-8</v>
      </c>
      <c r="D316" s="45">
        <f t="shared" si="38"/>
        <v>219.99999999999997</v>
      </c>
      <c r="E316" s="48">
        <f t="shared" si="39"/>
        <v>9.9888000000000017E-5</v>
      </c>
      <c r="F316" s="48">
        <f t="shared" si="40"/>
        <v>1.0011199999999999E-4</v>
      </c>
      <c r="G316" s="45">
        <f t="shared" si="41"/>
        <v>-99.943810978939993</v>
      </c>
      <c r="H316" s="45">
        <f>(100*0.06+100*0.03)/100</f>
        <v>0.09</v>
      </c>
      <c r="I316" s="42">
        <f t="shared" si="42"/>
        <v>-89235.54551691073</v>
      </c>
      <c r="J316" s="4">
        <v>21904.690086320868</v>
      </c>
      <c r="K316" t="s">
        <v>448</v>
      </c>
    </row>
    <row r="317" spans="1:11" ht="14.25" customHeight="1">
      <c r="A317" s="36" t="s">
        <v>449</v>
      </c>
      <c r="B317" s="63">
        <v>1E-4</v>
      </c>
      <c r="C317" s="65">
        <v>6.0381786980000003E-8</v>
      </c>
      <c r="D317" s="42">
        <f t="shared" si="38"/>
        <v>219.99999999999997</v>
      </c>
      <c r="E317" s="65">
        <f t="shared" si="39"/>
        <v>9.9888000000000017E-5</v>
      </c>
      <c r="F317" s="65">
        <f t="shared" si="40"/>
        <v>1.0011199999999999E-4</v>
      </c>
      <c r="G317" s="66">
        <f t="shared" si="41"/>
        <v>-99.939618213020012</v>
      </c>
      <c r="H317" s="42">
        <f>(100*0.06+100*0.03)/100</f>
        <v>0.09</v>
      </c>
      <c r="I317" s="42">
        <f t="shared" si="42"/>
        <v>-89231.801975910726</v>
      </c>
      <c r="J317" s="10">
        <v>30545.299058161629</v>
      </c>
      <c r="K317" t="s">
        <v>448</v>
      </c>
    </row>
    <row r="318" spans="1:11" ht="14.25" customHeight="1">
      <c r="A318" s="39" t="s">
        <v>450</v>
      </c>
      <c r="B318" s="61">
        <v>1E-4</v>
      </c>
      <c r="C318" s="48">
        <v>5.9729413460000003E-8</v>
      </c>
      <c r="D318" s="45">
        <f t="shared" si="38"/>
        <v>219.99999999999997</v>
      </c>
      <c r="E318" s="48">
        <f t="shared" si="39"/>
        <v>9.9888000000000017E-5</v>
      </c>
      <c r="F318" s="48">
        <f t="shared" si="40"/>
        <v>1.0011199999999999E-4</v>
      </c>
      <c r="G318" s="45">
        <f t="shared" si="41"/>
        <v>-99.940270586539981</v>
      </c>
      <c r="H318" s="45">
        <f>(100*0.06+100*0.03)/100</f>
        <v>0.09</v>
      </c>
      <c r="I318" s="42">
        <f t="shared" si="42"/>
        <v>-89232.384452267841</v>
      </c>
      <c r="J318" s="4">
        <v>37958.312368904903</v>
      </c>
      <c r="K318" t="s">
        <v>448</v>
      </c>
    </row>
    <row r="319" spans="1:11" ht="14.25" customHeight="1">
      <c r="A319" s="36" t="s">
        <v>451</v>
      </c>
      <c r="B319" s="63">
        <v>1E-3</v>
      </c>
      <c r="C319" s="36">
        <v>3.8681094769999999E-7</v>
      </c>
      <c r="D319" s="42">
        <f>(B319*120/1000000+40*0.000000001)*1000000/B319</f>
        <v>160</v>
      </c>
      <c r="E319" s="3">
        <f t="shared" si="39"/>
        <v>9.9904000000000008E-4</v>
      </c>
      <c r="F319" s="3">
        <f t="shared" si="40"/>
        <v>1.00096E-3</v>
      </c>
      <c r="G319" s="66">
        <f t="shared" si="41"/>
        <v>-99.961318905229987</v>
      </c>
      <c r="H319" s="42">
        <f>(1*0.06+1*0.02)/1</f>
        <v>0.08</v>
      </c>
      <c r="I319" s="42">
        <f t="shared" si="42"/>
        <v>-104126.37385961456</v>
      </c>
      <c r="J319" s="10">
        <v>31476.970472093031</v>
      </c>
      <c r="K319" t="s">
        <v>452</v>
      </c>
    </row>
    <row r="320" spans="1:11" ht="14.25" customHeight="1">
      <c r="A320" s="39" t="s">
        <v>453</v>
      </c>
      <c r="B320" s="61">
        <v>1E-3</v>
      </c>
      <c r="C320" s="39">
        <v>4.0579998129999999E-7</v>
      </c>
      <c r="D320" s="45">
        <f>(B320*120/1000000+40*0.000000001)*1000000/B320</f>
        <v>160</v>
      </c>
      <c r="E320" s="39">
        <f t="shared" si="39"/>
        <v>9.9904000000000008E-4</v>
      </c>
      <c r="F320" s="39">
        <f t="shared" si="40"/>
        <v>1.00096E-3</v>
      </c>
      <c r="G320" s="45">
        <f t="shared" si="41"/>
        <v>-99.959420001870015</v>
      </c>
      <c r="H320" s="45">
        <f>(1*0.06+1*0.02)/1</f>
        <v>0.08</v>
      </c>
      <c r="I320" s="42">
        <f t="shared" si="42"/>
        <v>-104124.39583528128</v>
      </c>
      <c r="J320" s="4">
        <v>33919.250464277036</v>
      </c>
      <c r="K320" t="s">
        <v>452</v>
      </c>
    </row>
    <row r="321" spans="1:11" ht="14.25" customHeight="1">
      <c r="A321" s="36" t="s">
        <v>454</v>
      </c>
      <c r="B321" s="63">
        <v>1E-3</v>
      </c>
      <c r="C321" s="36">
        <v>3.9538934290000003E-7</v>
      </c>
      <c r="D321" s="42">
        <f>(B321*120/1000000+40*0.000000001)*1000000/B321</f>
        <v>160</v>
      </c>
      <c r="E321" s="3">
        <f t="shared" si="39"/>
        <v>9.9934000000000004E-4</v>
      </c>
      <c r="F321" s="3">
        <f t="shared" si="40"/>
        <v>1.00066E-3</v>
      </c>
      <c r="G321" s="66">
        <f t="shared" si="41"/>
        <v>-99.960461065710007</v>
      </c>
      <c r="H321" s="42">
        <f>(1*0.03+1*0.02)/1</f>
        <v>0.05</v>
      </c>
      <c r="I321" s="42">
        <f t="shared" si="42"/>
        <v>-151455.24403895455</v>
      </c>
      <c r="J321" s="10">
        <v>20232.299010039049</v>
      </c>
      <c r="K321" t="s">
        <v>452</v>
      </c>
    </row>
    <row r="322" spans="1:11" ht="14.25" customHeight="1">
      <c r="A322" s="36" t="s">
        <v>455</v>
      </c>
      <c r="B322" s="61">
        <v>0.01</v>
      </c>
      <c r="C322" s="39">
        <v>3.5414359949999999E-5</v>
      </c>
      <c r="D322" s="45">
        <f>(B322*120/1000000+400*0.000000001)*1000000/B322</f>
        <v>159.99999999999997</v>
      </c>
      <c r="E322" s="39">
        <f t="shared" si="39"/>
        <v>9.9904000000000017E-3</v>
      </c>
      <c r="F322" s="39">
        <f t="shared" si="40"/>
        <v>1.0009599999999999E-2</v>
      </c>
      <c r="G322" s="45">
        <f t="shared" si="41"/>
        <v>-99.645856400500008</v>
      </c>
      <c r="H322" s="45">
        <f>(10*0.06+10*0.02)/10</f>
        <v>0.08</v>
      </c>
      <c r="I322" s="42">
        <f t="shared" si="42"/>
        <v>-103797.76708385418</v>
      </c>
      <c r="J322" s="4">
        <v>32036.726208942189</v>
      </c>
      <c r="K322" t="s">
        <v>452</v>
      </c>
    </row>
    <row r="323" spans="1:11" ht="14.25" customHeight="1">
      <c r="A323" s="39" t="s">
        <v>456</v>
      </c>
      <c r="B323" s="63">
        <v>0.01</v>
      </c>
      <c r="C323" s="36">
        <v>3.6947358760000003E-5</v>
      </c>
      <c r="D323" s="42">
        <f>(B323*120/1000000+400*0.000000001)*1000000/B323</f>
        <v>159.99999999999997</v>
      </c>
      <c r="E323" s="3">
        <f t="shared" si="39"/>
        <v>9.9904000000000017E-3</v>
      </c>
      <c r="F323" s="3">
        <f t="shared" si="40"/>
        <v>1.0009599999999999E-2</v>
      </c>
      <c r="G323" s="66">
        <f t="shared" si="41"/>
        <v>-99.630526412400002</v>
      </c>
      <c r="H323" s="42">
        <f>(10*0.06+10*0.02)/10</f>
        <v>0.08</v>
      </c>
      <c r="I323" s="42">
        <f t="shared" si="42"/>
        <v>-103781.79834625</v>
      </c>
      <c r="J323" s="10">
        <v>24308.37575572417</v>
      </c>
      <c r="K323" t="s">
        <v>452</v>
      </c>
    </row>
    <row r="324" spans="1:11" ht="14.25" customHeight="1">
      <c r="A324" s="36" t="s">
        <v>457</v>
      </c>
      <c r="B324" s="61">
        <v>0.01</v>
      </c>
      <c r="C324" s="39">
        <v>3.7185906239999998E-5</v>
      </c>
      <c r="D324" s="42">
        <f>(B324*120/1000000+400*0.000000001)*1000000/B324</f>
        <v>159.99999999999997</v>
      </c>
      <c r="E324" s="39">
        <f t="shared" si="39"/>
        <v>9.9934000000000012E-3</v>
      </c>
      <c r="F324" s="39">
        <f t="shared" si="40"/>
        <v>1.0006599999999999E-2</v>
      </c>
      <c r="G324" s="45">
        <f t="shared" si="41"/>
        <v>-99.628140937599994</v>
      </c>
      <c r="H324" s="45">
        <f>(10*0.03+10*0.02)/10</f>
        <v>0.05</v>
      </c>
      <c r="I324" s="42">
        <f t="shared" si="42"/>
        <v>-150951.72869333334</v>
      </c>
      <c r="J324" s="4">
        <v>42901.179297745854</v>
      </c>
      <c r="K324" t="s">
        <v>452</v>
      </c>
    </row>
    <row r="325" spans="1:11" ht="14.25" customHeight="1">
      <c r="A325" s="39" t="s">
        <v>458</v>
      </c>
      <c r="B325" s="63">
        <v>0.1</v>
      </c>
      <c r="C325" s="36">
        <v>3.6320509020000003E-5</v>
      </c>
      <c r="D325" s="42">
        <f>(B325*120/1000000+3*0.000000001)*1000000/B325</f>
        <v>120.03</v>
      </c>
      <c r="E325" s="3">
        <f t="shared" si="39"/>
        <v>9.9907997000000012E-2</v>
      </c>
      <c r="F325" s="3">
        <f t="shared" si="40"/>
        <v>0.100092003</v>
      </c>
      <c r="G325" s="66">
        <f t="shared" si="41"/>
        <v>-99.963679490980013</v>
      </c>
      <c r="H325" s="42">
        <f>(100*0.06+100*0.02)/100</f>
        <v>0.08</v>
      </c>
      <c r="I325" s="42">
        <f t="shared" si="42"/>
        <v>-108652.63033920634</v>
      </c>
      <c r="J325" s="10">
        <v>41213.804681112772</v>
      </c>
      <c r="K325" t="s">
        <v>280</v>
      </c>
    </row>
    <row r="326" spans="1:11" ht="14.25" customHeight="1">
      <c r="A326" s="36" t="s">
        <v>459</v>
      </c>
      <c r="B326" s="61">
        <v>0.1</v>
      </c>
      <c r="C326" s="39">
        <v>3.696458719E-5</v>
      </c>
      <c r="D326" s="45">
        <f>(B326*120/1000000+3*0.000000001)*1000000/B326</f>
        <v>120.03</v>
      </c>
      <c r="E326" s="39">
        <f t="shared" si="39"/>
        <v>9.9907997000000012E-2</v>
      </c>
      <c r="F326" s="39">
        <f t="shared" si="40"/>
        <v>0.100092003</v>
      </c>
      <c r="G326" s="45">
        <f t="shared" si="41"/>
        <v>-99.963035412809987</v>
      </c>
      <c r="H326" s="45">
        <f>(100*0.06+100*0.02)/100</f>
        <v>0.08</v>
      </c>
      <c r="I326" s="42">
        <f t="shared" si="42"/>
        <v>-108651.93027706703</v>
      </c>
      <c r="J326" s="4">
        <v>23849.648683121759</v>
      </c>
      <c r="K326" t="s">
        <v>280</v>
      </c>
    </row>
    <row r="327" spans="1:11" ht="14.25" customHeight="1">
      <c r="A327" s="36" t="s">
        <v>460</v>
      </c>
      <c r="B327" s="63">
        <v>0.1</v>
      </c>
      <c r="C327" s="36">
        <v>3.7014947209999999E-5</v>
      </c>
      <c r="D327" s="42">
        <f>(B327*120/1000000+3*0.000000001)*1000000/B327</f>
        <v>120.03</v>
      </c>
      <c r="E327" s="3">
        <f t="shared" si="39"/>
        <v>9.9937997000000015E-2</v>
      </c>
      <c r="F327" s="3">
        <f t="shared" si="40"/>
        <v>0.100062003</v>
      </c>
      <c r="G327" s="66">
        <f t="shared" si="41"/>
        <v>-99.962985052790003</v>
      </c>
      <c r="H327" s="42">
        <f>(100*0.03+100*0.02)/100</f>
        <v>0.05</v>
      </c>
      <c r="I327" s="42">
        <f t="shared" si="42"/>
        <v>-161222.81994869604</v>
      </c>
      <c r="J327" s="10">
        <v>25656.278588699261</v>
      </c>
      <c r="K327" t="s">
        <v>280</v>
      </c>
    </row>
    <row r="328" spans="1:11" ht="14.25" customHeight="1">
      <c r="A328" s="39" t="s">
        <v>461</v>
      </c>
      <c r="B328" s="61">
        <v>1</v>
      </c>
      <c r="C328" s="39">
        <v>3.7106087750000001E-4</v>
      </c>
      <c r="D328" s="45">
        <f>(B328*290/1000000+40*0.000000001)*1000000/B328</f>
        <v>290.03999999999996</v>
      </c>
      <c r="E328" s="39">
        <f t="shared" si="39"/>
        <v>0.99870996000000001</v>
      </c>
      <c r="F328" s="39">
        <f t="shared" si="40"/>
        <v>1.00129004</v>
      </c>
      <c r="G328" s="45">
        <f t="shared" si="41"/>
        <v>-99.962893912249996</v>
      </c>
      <c r="H328" s="45">
        <f>(1*0.08+1*0.02)/1</f>
        <v>0.1</v>
      </c>
      <c r="I328" s="42">
        <f t="shared" si="42"/>
        <v>-77488.212700575168</v>
      </c>
      <c r="J328" s="4">
        <v>49431.692572670952</v>
      </c>
      <c r="K328" t="s">
        <v>462</v>
      </c>
    </row>
    <row r="329" spans="1:11" ht="14.25" customHeight="1">
      <c r="A329" s="36" t="s">
        <v>463</v>
      </c>
      <c r="B329" s="63">
        <v>1</v>
      </c>
      <c r="C329" s="36">
        <v>3.5995446479999998E-4</v>
      </c>
      <c r="D329" s="42">
        <f>(B329*290/1000000+40*0.000000001)*1000000/B329</f>
        <v>290.03999999999996</v>
      </c>
      <c r="E329" s="3">
        <f t="shared" si="39"/>
        <v>0.99870996000000001</v>
      </c>
      <c r="F329" s="3">
        <f t="shared" si="40"/>
        <v>1.00129004</v>
      </c>
      <c r="G329" s="66">
        <f t="shared" si="41"/>
        <v>-99.964004553519999</v>
      </c>
      <c r="H329" s="42">
        <f>(1*0.08+1*0.02)/1</f>
        <v>0.1</v>
      </c>
      <c r="I329" s="42">
        <f t="shared" si="42"/>
        <v>-77489.073636104295</v>
      </c>
      <c r="J329" s="10">
        <v>41399.88148305197</v>
      </c>
      <c r="K329" t="s">
        <v>462</v>
      </c>
    </row>
    <row r="330" spans="1:11" ht="14.25" customHeight="1">
      <c r="A330" s="39" t="s">
        <v>464</v>
      </c>
      <c r="B330" s="61">
        <v>1</v>
      </c>
      <c r="C330" s="39">
        <v>3.4923703580000003E-4</v>
      </c>
      <c r="D330" s="45">
        <f>(B330*290/1000000+40*0.000000001)*1000000/B330</f>
        <v>290.03999999999996</v>
      </c>
      <c r="E330" s="39">
        <f t="shared" si="39"/>
        <v>0.99850996000000003</v>
      </c>
      <c r="F330" s="39">
        <f t="shared" si="40"/>
        <v>1.0014900400000002</v>
      </c>
      <c r="G330" s="45">
        <f t="shared" si="41"/>
        <v>-99.965076296419994</v>
      </c>
      <c r="H330" s="45">
        <f>(1*0.1+1*0.02)/1</f>
        <v>0.12000000000000001</v>
      </c>
      <c r="I330" s="42">
        <f t="shared" si="42"/>
        <v>-67088.854189431149</v>
      </c>
      <c r="J330" s="4">
        <v>38080.592464745503</v>
      </c>
      <c r="K330" t="s">
        <v>462</v>
      </c>
    </row>
    <row r="331" spans="1:11" ht="14.25" customHeight="1">
      <c r="A331" s="5"/>
      <c r="B331" s="67"/>
      <c r="C331" s="10"/>
      <c r="D331" s="10"/>
      <c r="E331" s="10"/>
      <c r="F331" s="10"/>
      <c r="G331" s="10"/>
      <c r="H331" s="10"/>
      <c r="I331" s="10"/>
      <c r="J331" s="10"/>
    </row>
    <row r="332" spans="1:11" ht="25.5" customHeight="1">
      <c r="A332" s="68" t="s">
        <v>465</v>
      </c>
      <c r="B332" s="45" t="s">
        <v>466</v>
      </c>
      <c r="C332" s="45" t="s">
        <v>467</v>
      </c>
      <c r="D332" s="45" t="s">
        <v>468</v>
      </c>
      <c r="E332" s="45" t="s">
        <v>469</v>
      </c>
      <c r="F332" s="45" t="s">
        <v>470</v>
      </c>
      <c r="G332" s="45" t="s">
        <v>471</v>
      </c>
      <c r="H332" s="45"/>
      <c r="I332" s="45" t="s">
        <v>472</v>
      </c>
      <c r="J332" s="45"/>
    </row>
    <row r="333" spans="1:11" ht="25.5" customHeight="1">
      <c r="A333" s="13" t="s">
        <v>473</v>
      </c>
      <c r="B333" s="36">
        <v>0.03</v>
      </c>
      <c r="C333" s="36">
        <v>29.56</v>
      </c>
      <c r="D333" s="36">
        <v>48.97</v>
      </c>
      <c r="E333" s="36">
        <v>76.19</v>
      </c>
      <c r="F333" s="36">
        <v>30.2</v>
      </c>
      <c r="G333" s="36">
        <v>9.09</v>
      </c>
      <c r="H333" s="36"/>
      <c r="I333" s="36">
        <f>SUM(B333:H333)</f>
        <v>194.04</v>
      </c>
      <c r="J333" s="25"/>
    </row>
    <row r="334" spans="1:11" ht="25.5" customHeight="1">
      <c r="A334" s="68" t="s">
        <v>474</v>
      </c>
      <c r="B334" s="39">
        <v>0</v>
      </c>
      <c r="C334" s="39">
        <v>-0.1</v>
      </c>
      <c r="D334" s="39">
        <v>0.2</v>
      </c>
      <c r="E334" s="39">
        <v>0.1</v>
      </c>
      <c r="F334" s="39">
        <v>-0.1</v>
      </c>
      <c r="G334" s="39">
        <v>0</v>
      </c>
      <c r="H334" s="45"/>
      <c r="I334" s="45">
        <f>SUM(B334:H334)</f>
        <v>0.1</v>
      </c>
      <c r="J334" s="45"/>
    </row>
  </sheetData>
  <mergeCells count="242">
    <mergeCell ref="F16:G16"/>
    <mergeCell ref="H16:I16"/>
    <mergeCell ref="D45:F45"/>
    <mergeCell ref="A153:B153"/>
    <mergeCell ref="A152:B152"/>
    <mergeCell ref="A5:B5"/>
    <mergeCell ref="A6:B6"/>
    <mergeCell ref="A7:B7"/>
    <mergeCell ref="A8:B8"/>
    <mergeCell ref="C5:D5"/>
    <mergeCell ref="C6:D6"/>
    <mergeCell ref="C7:D7"/>
    <mergeCell ref="C8:D8"/>
    <mergeCell ref="A20:B20"/>
    <mergeCell ref="A21:B21"/>
    <mergeCell ref="A22:B22"/>
    <mergeCell ref="A23:B23"/>
    <mergeCell ref="A24:B24"/>
    <mergeCell ref="C32:D32"/>
    <mergeCell ref="C33:D33"/>
    <mergeCell ref="A32:B32"/>
    <mergeCell ref="C21:D21"/>
    <mergeCell ref="C24:D24"/>
    <mergeCell ref="C20:D20"/>
    <mergeCell ref="C22:D22"/>
    <mergeCell ref="H5:I5"/>
    <mergeCell ref="H6:I6"/>
    <mergeCell ref="H8:I8"/>
    <mergeCell ref="F24:G24"/>
    <mergeCell ref="H24:I24"/>
    <mergeCell ref="H21:I21"/>
    <mergeCell ref="H22:I22"/>
    <mergeCell ref="H23:I23"/>
    <mergeCell ref="F21:G21"/>
    <mergeCell ref="F22:G22"/>
    <mergeCell ref="F23:G23"/>
    <mergeCell ref="H20:I20"/>
    <mergeCell ref="F20:G20"/>
    <mergeCell ref="F5:G5"/>
    <mergeCell ref="F6:G6"/>
    <mergeCell ref="F7:G7"/>
    <mergeCell ref="F8:G8"/>
    <mergeCell ref="F15:G15"/>
    <mergeCell ref="H14:I14"/>
    <mergeCell ref="H15:I15"/>
    <mergeCell ref="H7:I7"/>
    <mergeCell ref="H13:I13"/>
    <mergeCell ref="C23:D23"/>
    <mergeCell ref="C14:D14"/>
    <mergeCell ref="C15:D15"/>
    <mergeCell ref="A16:B16"/>
    <mergeCell ref="C16:D16"/>
    <mergeCell ref="H37:I37"/>
    <mergeCell ref="A9:B9"/>
    <mergeCell ref="C9:D9"/>
    <mergeCell ref="F9:G9"/>
    <mergeCell ref="H9:I9"/>
    <mergeCell ref="A37:B37"/>
    <mergeCell ref="F37:G37"/>
    <mergeCell ref="C36:D36"/>
    <mergeCell ref="C37:D37"/>
    <mergeCell ref="H33:I33"/>
    <mergeCell ref="H34:I34"/>
    <mergeCell ref="H35:I35"/>
    <mergeCell ref="C34:D34"/>
    <mergeCell ref="C35:D35"/>
    <mergeCell ref="F33:G33"/>
    <mergeCell ref="F34:G34"/>
    <mergeCell ref="A34:B34"/>
    <mergeCell ref="A15:B15"/>
    <mergeCell ref="H31:I31"/>
    <mergeCell ref="H32:I32"/>
    <mergeCell ref="C29:D29"/>
    <mergeCell ref="C30:D30"/>
    <mergeCell ref="C31:D31"/>
    <mergeCell ref="H29:I29"/>
    <mergeCell ref="H30:I30"/>
    <mergeCell ref="A10:B10"/>
    <mergeCell ref="C10:D10"/>
    <mergeCell ref="F10:G10"/>
    <mergeCell ref="H10:I10"/>
    <mergeCell ref="A11:B11"/>
    <mergeCell ref="C11:D11"/>
    <mergeCell ref="F11:G11"/>
    <mergeCell ref="H11:I11"/>
    <mergeCell ref="A14:B14"/>
    <mergeCell ref="F14:G14"/>
    <mergeCell ref="A12:B12"/>
    <mergeCell ref="C12:D12"/>
    <mergeCell ref="F12:G12"/>
    <mergeCell ref="H12:I12"/>
    <mergeCell ref="A13:B13"/>
    <mergeCell ref="C13:D13"/>
    <mergeCell ref="F13:G13"/>
    <mergeCell ref="F29:G29"/>
    <mergeCell ref="F30:G30"/>
    <mergeCell ref="D268:F268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58:B258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F32:G32"/>
    <mergeCell ref="F31:G31"/>
    <mergeCell ref="A29:B29"/>
    <mergeCell ref="A30:B30"/>
    <mergeCell ref="D311:F311"/>
    <mergeCell ref="A38:B38"/>
    <mergeCell ref="C38:D38"/>
    <mergeCell ref="F38:G38"/>
    <mergeCell ref="A39:B39"/>
    <mergeCell ref="C39:D39"/>
    <mergeCell ref="A259:B259"/>
    <mergeCell ref="A260:B260"/>
    <mergeCell ref="A261:B261"/>
    <mergeCell ref="A262:B262"/>
    <mergeCell ref="A250:B250"/>
    <mergeCell ref="A251:B251"/>
    <mergeCell ref="A252:B252"/>
    <mergeCell ref="A253:B253"/>
    <mergeCell ref="A254:B254"/>
    <mergeCell ref="A255:B255"/>
    <mergeCell ref="A40:B40"/>
    <mergeCell ref="C40:D40"/>
    <mergeCell ref="A256:B256"/>
    <mergeCell ref="A257:B257"/>
    <mergeCell ref="A41:B41"/>
    <mergeCell ref="C41:D41"/>
    <mergeCell ref="F41:G41"/>
    <mergeCell ref="H41:I41"/>
    <mergeCell ref="A28:B28"/>
    <mergeCell ref="C28:D28"/>
    <mergeCell ref="F28:G28"/>
    <mergeCell ref="H28:I28"/>
    <mergeCell ref="A4:B4"/>
    <mergeCell ref="C4:D4"/>
    <mergeCell ref="F4:G4"/>
    <mergeCell ref="H4:I4"/>
    <mergeCell ref="F40:G40"/>
    <mergeCell ref="H40:I40"/>
    <mergeCell ref="A35:B35"/>
    <mergeCell ref="F35:G35"/>
    <mergeCell ref="A36:B36"/>
    <mergeCell ref="F39:G39"/>
    <mergeCell ref="A33:B33"/>
    <mergeCell ref="H38:I38"/>
    <mergeCell ref="H39:I39"/>
    <mergeCell ref="H36:I36"/>
    <mergeCell ref="F36:G36"/>
    <mergeCell ref="A31:B31"/>
  </mergeCells>
  <conditionalFormatting sqref="I47:I51">
    <cfRule type="cellIs" dxfId="36" priority="28" operator="between">
      <formula>-100</formula>
      <formula>100</formula>
    </cfRule>
    <cfRule type="cellIs" dxfId="35" priority="29" operator="lessThan">
      <formula>-100</formula>
    </cfRule>
    <cfRule type="cellIs" dxfId="34" priority="30" operator="greaterThan">
      <formula>100</formula>
    </cfRule>
    <cfRule type="cellIs" dxfId="33" priority="31" operator="between">
      <formula>-100</formula>
      <formula>-100</formula>
    </cfRule>
    <cfRule type="cellIs" dxfId="32" priority="32" operator="between">
      <formula>-100</formula>
      <formula>-100</formula>
    </cfRule>
    <cfRule type="cellIs" dxfId="31" priority="36" operator="lessThan">
      <formula>-100</formula>
    </cfRule>
    <cfRule type="cellIs" dxfId="30" priority="37" operator="greaterThan">
      <formula>100</formula>
    </cfRule>
  </conditionalFormatting>
  <conditionalFormatting sqref="I53:I92">
    <cfRule type="cellIs" dxfId="29" priority="33" operator="between">
      <formula>-100</formula>
      <formula>100</formula>
    </cfRule>
    <cfRule type="cellIs" dxfId="28" priority="34" operator="lessThan">
      <formula>-100</formula>
    </cfRule>
    <cfRule type="cellIs" dxfId="27" priority="35" operator="greaterThan">
      <formula>100</formula>
    </cfRule>
  </conditionalFormatting>
  <conditionalFormatting sqref="I96:I112">
    <cfRule type="cellIs" dxfId="26" priority="25" operator="between">
      <formula>-100</formula>
      <formula>100</formula>
    </cfRule>
    <cfRule type="cellIs" dxfId="25" priority="26" operator="lessThan">
      <formula>-100</formula>
    </cfRule>
    <cfRule type="cellIs" dxfId="24" priority="27" operator="greaterThan">
      <formula>100</formula>
    </cfRule>
  </conditionalFormatting>
  <conditionalFormatting sqref="I144:I150">
    <cfRule type="cellIs" dxfId="23" priority="22" operator="between">
      <formula>-100</formula>
      <formula>100</formula>
    </cfRule>
    <cfRule type="cellIs" dxfId="22" priority="23" operator="lessThan">
      <formula>-100</formula>
    </cfRule>
    <cfRule type="cellIs" dxfId="21" priority="24" operator="greaterThan">
      <formula>100</formula>
    </cfRule>
  </conditionalFormatting>
  <conditionalFormatting sqref="I153:I262">
    <cfRule type="cellIs" dxfId="20" priority="19" operator="between">
      <formula>-100</formula>
      <formula>100</formula>
    </cfRule>
    <cfRule type="cellIs" dxfId="19" priority="20" operator="lessThan">
      <formula>-100</formula>
    </cfRule>
    <cfRule type="cellIs" dxfId="18" priority="21" operator="greaterThan">
      <formula>100</formula>
    </cfRule>
  </conditionalFormatting>
  <conditionalFormatting sqref="I271:I309">
    <cfRule type="cellIs" dxfId="17" priority="16" operator="between">
      <formula>-100</formula>
      <formula>100</formula>
    </cfRule>
    <cfRule type="cellIs" dxfId="16" priority="17" operator="lessThan">
      <formula>-100</formula>
    </cfRule>
    <cfRule type="cellIs" dxfId="15" priority="18" operator="greaterThan">
      <formula>100</formula>
    </cfRule>
  </conditionalFormatting>
  <conditionalFormatting sqref="I313 I315 I317 I319 I321 I323 I325 I327 I329">
    <cfRule type="cellIs" dxfId="14" priority="13" operator="between">
      <formula>-100</formula>
      <formula>100</formula>
    </cfRule>
    <cfRule type="cellIs" dxfId="13" priority="14" operator="lessThan">
      <formula>-100</formula>
    </cfRule>
    <cfRule type="cellIs" dxfId="12" priority="15" operator="greaterThan">
      <formula>100</formula>
    </cfRule>
  </conditionalFormatting>
  <conditionalFormatting sqref="I314 I316 I318 I320 I322 I324 I326 I328">
    <cfRule type="cellIs" dxfId="11" priority="10" operator="between">
      <formula>-100</formula>
      <formula>100</formula>
    </cfRule>
    <cfRule type="cellIs" dxfId="10" priority="11" operator="lessThan">
      <formula>-100</formula>
    </cfRule>
    <cfRule type="cellIs" dxfId="9" priority="12" operator="greaterThan">
      <formula>100</formula>
    </cfRule>
  </conditionalFormatting>
  <conditionalFormatting sqref="I330">
    <cfRule type="cellIs" dxfId="8" priority="7" operator="between">
      <formula>-100</formula>
      <formula>100</formula>
    </cfRule>
    <cfRule type="cellIs" dxfId="7" priority="8" operator="lessThan">
      <formula>-100</formula>
    </cfRule>
    <cfRule type="cellIs" dxfId="6" priority="9" operator="greaterThan">
      <formula>100</formula>
    </cfRule>
  </conditionalFormatting>
  <conditionalFormatting sqref="I114">
    <cfRule type="cellIs" dxfId="5" priority="4" operator="between">
      <formula>-100</formula>
      <formula>100</formula>
    </cfRule>
    <cfRule type="cellIs" dxfId="4" priority="5" operator="lessThan">
      <formula>-100</formula>
    </cfRule>
    <cfRule type="cellIs" dxfId="3" priority="6" operator="greaterThan">
      <formula>100</formula>
    </cfRule>
  </conditionalFormatting>
  <conditionalFormatting sqref="I113">
    <cfRule type="cellIs" dxfId="2" priority="1" operator="between">
      <formula>-100</formula>
      <formula>100</formula>
    </cfRule>
    <cfRule type="cellIs" dxfId="1" priority="2" operator="lessThan">
      <formula>-100</formula>
    </cfRule>
    <cfRule type="cellIs" dxfId="0" priority="3" operator="greaterThan">
      <formula>100</formula>
    </cfRule>
  </conditionalFormatting>
  <pageMargins left="0.25" right="0.25" top="0.75" bottom="0.75" header="0.3" footer="0.3"/>
  <pageSetup paperSize="9" orientation="portrait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</vt:lpstr>
      <vt:lpstr>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Windows User</cp:lastModifiedBy>
  <cp:lastPrinted>2019-03-29T02:37:08Z</cp:lastPrinted>
  <dcterms:created xsi:type="dcterms:W3CDTF">2019-03-19T17:15:36Z</dcterms:created>
  <dcterms:modified xsi:type="dcterms:W3CDTF">2019-03-30T14:18:42Z</dcterms:modified>
</cp:coreProperties>
</file>